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70" yWindow="525" windowWidth="13950" windowHeight="8865" activeTab="2"/>
  </bookViews>
  <sheets>
    <sheet name="ССР 2000" sheetId="18" r:id="rId1"/>
    <sheet name="ССР_тц  " sheetId="17" r:id="rId2"/>
    <sheet name="от ССР_Форма 1" sheetId="11" r:id="rId3"/>
    <sheet name="НМЦ лота СМР " sheetId="16" r:id="rId4"/>
  </sheets>
  <definedNames>
    <definedName name="_xlnm.Print_Area" localSheetId="3">'НМЦ лота СМР '!$A$1:$H$55</definedName>
    <definedName name="_xlnm.Print_Area" localSheetId="2">'от ССР_Форма 1'!$A$1:$R$52</definedName>
    <definedName name="_xlnm.Print_Area" localSheetId="0">'ССР 2000'!$A$1:$H$61</definedName>
    <definedName name="_xlnm.Print_Area" localSheetId="1">'ССР_тц  '!$A$1:$H$64</definedName>
  </definedNames>
  <calcPr calcId="145621"/>
</workbook>
</file>

<file path=xl/calcChain.xml><?xml version="1.0" encoding="utf-8"?>
<calcChain xmlns="http://schemas.openxmlformats.org/spreadsheetml/2006/main">
  <c r="Q48" i="11" l="1"/>
  <c r="H44" i="16"/>
  <c r="H43" i="16"/>
  <c r="H42" i="16"/>
  <c r="D15" i="16" l="1"/>
  <c r="G36" i="16" l="1"/>
  <c r="D41" i="16"/>
  <c r="E41" i="16" s="1"/>
  <c r="T46" i="11"/>
  <c r="U48" i="11"/>
  <c r="F41" i="16"/>
  <c r="Q40" i="11"/>
  <c r="P40" i="11"/>
  <c r="O40" i="11"/>
  <c r="N40" i="11"/>
  <c r="H44" i="11"/>
  <c r="H42" i="11"/>
  <c r="H39" i="11"/>
  <c r="D26" i="11"/>
  <c r="D20" i="11"/>
  <c r="D14" i="11"/>
  <c r="D25" i="17"/>
  <c r="G41" i="16" l="1"/>
  <c r="G33" i="16"/>
  <c r="Q37" i="11" l="1"/>
  <c r="E40" i="16" l="1"/>
  <c r="F40" i="16"/>
  <c r="G24" i="11" l="1"/>
  <c r="L33" i="11" l="1"/>
  <c r="H22" i="18" l="1"/>
  <c r="G23" i="18"/>
  <c r="H23" i="18"/>
  <c r="J23" i="18"/>
  <c r="D25" i="18"/>
  <c r="H25" i="18" s="1"/>
  <c r="D26" i="18"/>
  <c r="J26" i="18" s="1"/>
  <c r="E26" i="18"/>
  <c r="F26" i="18"/>
  <c r="G26" i="18"/>
  <c r="H26" i="18"/>
  <c r="D27" i="18"/>
  <c r="E27" i="18"/>
  <c r="F27" i="18"/>
  <c r="F31" i="18" s="1"/>
  <c r="F37" i="18" s="1"/>
  <c r="F42" i="18" s="1"/>
  <c r="G27" i="18"/>
  <c r="H27" i="18"/>
  <c r="E30" i="18"/>
  <c r="F30" i="18"/>
  <c r="G30" i="18"/>
  <c r="E31" i="18"/>
  <c r="G31" i="18"/>
  <c r="G35" i="18"/>
  <c r="H35" i="18" s="1"/>
  <c r="E36" i="18"/>
  <c r="F36" i="18"/>
  <c r="E37" i="18"/>
  <c r="E42" i="18" s="1"/>
  <c r="G44" i="18"/>
  <c r="H44" i="18"/>
  <c r="H45" i="18" s="1"/>
  <c r="G45" i="18"/>
  <c r="J45" i="18"/>
  <c r="E50" i="18"/>
  <c r="E54" i="18" s="1"/>
  <c r="F50" i="18"/>
  <c r="F54" i="18"/>
  <c r="H22" i="17"/>
  <c r="G23" i="17"/>
  <c r="H23" i="17"/>
  <c r="J23" i="17"/>
  <c r="H25" i="17"/>
  <c r="D26" i="17"/>
  <c r="J26" i="17" s="1"/>
  <c r="E26" i="17"/>
  <c r="F26" i="17"/>
  <c r="G26" i="17"/>
  <c r="H26" i="17"/>
  <c r="E27" i="17"/>
  <c r="F27" i="17"/>
  <c r="F31" i="17" s="1"/>
  <c r="F37" i="17" s="1"/>
  <c r="F42" i="17" s="1"/>
  <c r="G27" i="17"/>
  <c r="E30" i="17"/>
  <c r="F30" i="17"/>
  <c r="G30" i="17"/>
  <c r="E31" i="17"/>
  <c r="G31" i="17"/>
  <c r="G35" i="17"/>
  <c r="H35" i="17" s="1"/>
  <c r="E36" i="17"/>
  <c r="F36" i="17"/>
  <c r="E37" i="17"/>
  <c r="E42" i="17" s="1"/>
  <c r="H44" i="17"/>
  <c r="G45" i="17"/>
  <c r="H45" i="17"/>
  <c r="J45" i="17"/>
  <c r="E50" i="17"/>
  <c r="F50" i="17"/>
  <c r="F54" i="17" s="1"/>
  <c r="E54" i="17"/>
  <c r="E56" i="17"/>
  <c r="F56" i="17"/>
  <c r="F57" i="17" s="1"/>
  <c r="E57" i="17"/>
  <c r="E58" i="17"/>
  <c r="F58" i="17"/>
  <c r="D27" i="17" l="1"/>
  <c r="H27" i="17" s="1"/>
  <c r="D29" i="18"/>
  <c r="D29" i="17"/>
  <c r="G14" i="11"/>
  <c r="F14" i="11"/>
  <c r="E14" i="11"/>
  <c r="N14" i="11"/>
  <c r="F35" i="16"/>
  <c r="E35" i="16"/>
  <c r="E31" i="16"/>
  <c r="E28" i="16"/>
  <c r="D30" i="18" l="1"/>
  <c r="H29" i="18"/>
  <c r="D30" i="17"/>
  <c r="H29" i="17"/>
  <c r="F34" i="16"/>
  <c r="H33" i="16"/>
  <c r="G34" i="16"/>
  <c r="G35" i="16" s="1"/>
  <c r="H27" i="16"/>
  <c r="H26" i="16"/>
  <c r="G20" i="16"/>
  <c r="F20" i="16"/>
  <c r="E20" i="16"/>
  <c r="H15" i="16"/>
  <c r="H20" i="16" s="1"/>
  <c r="P34" i="11"/>
  <c r="O34" i="11"/>
  <c r="N34" i="11"/>
  <c r="K34" i="11"/>
  <c r="J34" i="11"/>
  <c r="I34" i="11"/>
  <c r="F34" i="11"/>
  <c r="E34" i="11"/>
  <c r="D34" i="11"/>
  <c r="M33" i="11"/>
  <c r="G34" i="11"/>
  <c r="P30" i="11"/>
  <c r="O30" i="11"/>
  <c r="N30" i="11"/>
  <c r="K30" i="11"/>
  <c r="J30" i="11"/>
  <c r="I30" i="11"/>
  <c r="F30" i="11"/>
  <c r="E30" i="11"/>
  <c r="D30" i="11"/>
  <c r="P25" i="11"/>
  <c r="K25" i="11"/>
  <c r="F25" i="11"/>
  <c r="H24" i="11"/>
  <c r="G15" i="11"/>
  <c r="F15" i="11"/>
  <c r="F16" i="11" s="1"/>
  <c r="E15" i="11"/>
  <c r="E16" i="11" s="1"/>
  <c r="D15" i="11"/>
  <c r="H15" i="11" s="1"/>
  <c r="L15" i="11"/>
  <c r="L16" i="11" s="1"/>
  <c r="K15" i="11"/>
  <c r="K16" i="11" s="1"/>
  <c r="J15" i="11"/>
  <c r="J16" i="11" s="1"/>
  <c r="M14" i="11"/>
  <c r="H14" i="11"/>
  <c r="Q12" i="11"/>
  <c r="O12" i="11"/>
  <c r="L12" i="11"/>
  <c r="K12" i="11"/>
  <c r="P12" i="11" s="1"/>
  <c r="J12" i="11"/>
  <c r="I12" i="11"/>
  <c r="N12" i="11" s="1"/>
  <c r="R12" i="11" s="1"/>
  <c r="G12" i="11"/>
  <c r="F12" i="11"/>
  <c r="E12" i="11"/>
  <c r="D12" i="11"/>
  <c r="H30" i="18" l="1"/>
  <c r="J30" i="18"/>
  <c r="D31" i="18"/>
  <c r="H30" i="17"/>
  <c r="J30" i="17"/>
  <c r="D31" i="17"/>
  <c r="H12" i="11"/>
  <c r="G16" i="11"/>
  <c r="F36" i="16"/>
  <c r="F37" i="16" s="1"/>
  <c r="F42" i="16" s="1"/>
  <c r="D20" i="16"/>
  <c r="D28" i="16" s="1"/>
  <c r="E29" i="16"/>
  <c r="E34" i="16" s="1"/>
  <c r="K18" i="11"/>
  <c r="K19" i="11" s="1"/>
  <c r="K20" i="11" s="1"/>
  <c r="K26" i="11" s="1"/>
  <c r="K31" i="11" s="1"/>
  <c r="K35" i="11" s="1"/>
  <c r="F18" i="11"/>
  <c r="F19" i="11" s="1"/>
  <c r="F20" i="11" s="1"/>
  <c r="F26" i="11" s="1"/>
  <c r="F31" i="11" s="1"/>
  <c r="F35" i="11" s="1"/>
  <c r="Q24" i="11"/>
  <c r="R24" i="11" s="1"/>
  <c r="M24" i="11"/>
  <c r="J18" i="11"/>
  <c r="J19" i="11" s="1"/>
  <c r="J20" i="11" s="1"/>
  <c r="L18" i="11"/>
  <c r="L19" i="11" s="1"/>
  <c r="L20" i="11" s="1"/>
  <c r="E18" i="11"/>
  <c r="E19" i="11" s="1"/>
  <c r="E20" i="11" s="1"/>
  <c r="G18" i="11"/>
  <c r="G19" i="11" s="1"/>
  <c r="G20" i="11" s="1"/>
  <c r="M12" i="11"/>
  <c r="P14" i="11"/>
  <c r="P15" i="11" s="1"/>
  <c r="P16" i="11" s="1"/>
  <c r="I15" i="11"/>
  <c r="D16" i="11"/>
  <c r="H34" i="11"/>
  <c r="O14" i="11"/>
  <c r="O15" i="11" s="1"/>
  <c r="O16" i="11" s="1"/>
  <c r="Q14" i="11"/>
  <c r="Q15" i="11" s="1"/>
  <c r="Q16" i="11" s="1"/>
  <c r="Q33" i="11"/>
  <c r="L34" i="11"/>
  <c r="M34" i="11" s="1"/>
  <c r="H33" i="11"/>
  <c r="H31" i="18" l="1"/>
  <c r="D33" i="18"/>
  <c r="H31" i="17"/>
  <c r="D33" i="17"/>
  <c r="D29" i="16"/>
  <c r="D31" i="16" s="1"/>
  <c r="F45" i="16"/>
  <c r="F46" i="16" s="1"/>
  <c r="H28" i="16"/>
  <c r="G37" i="16"/>
  <c r="F37" i="11"/>
  <c r="F38" i="11" s="1"/>
  <c r="F39" i="11" s="1"/>
  <c r="F42" i="11" s="1"/>
  <c r="E22" i="11"/>
  <c r="E25" i="11" s="1"/>
  <c r="E26" i="11" s="1"/>
  <c r="E31" i="11" s="1"/>
  <c r="E35" i="11" s="1"/>
  <c r="J22" i="11"/>
  <c r="J25" i="11" s="1"/>
  <c r="J26" i="11" s="1"/>
  <c r="J31" i="11" s="1"/>
  <c r="J35" i="11" s="1"/>
  <c r="K37" i="11"/>
  <c r="K38" i="11" s="1"/>
  <c r="K39" i="11" s="1"/>
  <c r="Q34" i="11"/>
  <c r="R34" i="11" s="1"/>
  <c r="R33" i="11"/>
  <c r="Q18" i="11"/>
  <c r="Q19" i="11" s="1"/>
  <c r="Q20" i="11" s="1"/>
  <c r="I16" i="11"/>
  <c r="M15" i="11"/>
  <c r="N15" i="11"/>
  <c r="R14" i="11"/>
  <c r="O18" i="11"/>
  <c r="O19" i="11" s="1"/>
  <c r="O20" i="11" s="1"/>
  <c r="D18" i="11"/>
  <c r="H16" i="11"/>
  <c r="P18" i="11"/>
  <c r="P19" i="11" s="1"/>
  <c r="P20" i="11" s="1"/>
  <c r="P26" i="11" s="1"/>
  <c r="P31" i="11" s="1"/>
  <c r="P35" i="11" s="1"/>
  <c r="G40" i="16" l="1"/>
  <c r="G42" i="16" s="1"/>
  <c r="G45" i="16" s="1"/>
  <c r="G46" i="16" s="1"/>
  <c r="H33" i="18"/>
  <c r="D36" i="18"/>
  <c r="D37" i="18" s="1"/>
  <c r="H33" i="17"/>
  <c r="D36" i="17"/>
  <c r="D37" i="17" s="1"/>
  <c r="H31" i="16"/>
  <c r="H29" i="16"/>
  <c r="E36" i="16"/>
  <c r="E37" i="16" s="1"/>
  <c r="E42" i="16" s="1"/>
  <c r="O22" i="11"/>
  <c r="O25" i="11" s="1"/>
  <c r="O26" i="11" s="1"/>
  <c r="O31" i="11" s="1"/>
  <c r="O35" i="11" s="1"/>
  <c r="E37" i="11"/>
  <c r="E38" i="11" s="1"/>
  <c r="E39" i="11" s="1"/>
  <c r="E42" i="11" s="1"/>
  <c r="J37" i="11"/>
  <c r="J38" i="11" s="1"/>
  <c r="J39" i="11" s="1"/>
  <c r="F43" i="11"/>
  <c r="F44" i="11" s="1"/>
  <c r="P37" i="11"/>
  <c r="P38" i="11" s="1"/>
  <c r="P39" i="11" s="1"/>
  <c r="P42" i="11" s="1"/>
  <c r="H18" i="11"/>
  <c r="D19" i="11"/>
  <c r="R15" i="11"/>
  <c r="N16" i="11"/>
  <c r="M16" i="11"/>
  <c r="I18" i="11"/>
  <c r="D42" i="18" l="1"/>
  <c r="D42" i="17"/>
  <c r="E45" i="16"/>
  <c r="E46" i="16" s="1"/>
  <c r="H32" i="16"/>
  <c r="D34" i="16"/>
  <c r="D35" i="16" s="1"/>
  <c r="D36" i="16" s="1"/>
  <c r="E43" i="11"/>
  <c r="E44" i="11" s="1"/>
  <c r="O37" i="11"/>
  <c r="O38" i="11" s="1"/>
  <c r="O39" i="11" s="1"/>
  <c r="O42" i="11" s="1"/>
  <c r="I19" i="11"/>
  <c r="M18" i="11"/>
  <c r="P43" i="11"/>
  <c r="P44" i="11" s="1"/>
  <c r="N18" i="11"/>
  <c r="R16" i="11"/>
  <c r="H19" i="11"/>
  <c r="G34" i="18" l="1"/>
  <c r="D46" i="18"/>
  <c r="D46" i="17"/>
  <c r="G34" i="17"/>
  <c r="H34" i="16"/>
  <c r="O43" i="11"/>
  <c r="O44" i="11" s="1"/>
  <c r="R18" i="11"/>
  <c r="N19" i="11"/>
  <c r="H20" i="11"/>
  <c r="D22" i="11"/>
  <c r="M19" i="11"/>
  <c r="I20" i="11"/>
  <c r="D48" i="18" l="1"/>
  <c r="H34" i="18"/>
  <c r="H36" i="18" s="1"/>
  <c r="G36" i="18"/>
  <c r="G37" i="18" s="1"/>
  <c r="H34" i="17"/>
  <c r="H36" i="17" s="1"/>
  <c r="G36" i="17"/>
  <c r="G37" i="17" s="1"/>
  <c r="D48" i="17"/>
  <c r="H35" i="16"/>
  <c r="H36" i="16"/>
  <c r="R19" i="11"/>
  <c r="N20" i="11"/>
  <c r="I22" i="11"/>
  <c r="M20" i="11"/>
  <c r="D25" i="11"/>
  <c r="H22" i="11"/>
  <c r="H37" i="18" l="1"/>
  <c r="D49" i="18"/>
  <c r="D49" i="17"/>
  <c r="H37" i="17"/>
  <c r="D37" i="16"/>
  <c r="D40" i="16" s="1"/>
  <c r="I25" i="11"/>
  <c r="M22" i="11"/>
  <c r="R20" i="11"/>
  <c r="N22" i="11"/>
  <c r="G40" i="18" l="1"/>
  <c r="H40" i="18" s="1"/>
  <c r="G39" i="18"/>
  <c r="D50" i="18"/>
  <c r="G39" i="17"/>
  <c r="G40" i="17"/>
  <c r="H40" i="17" s="1"/>
  <c r="D50" i="17"/>
  <c r="H37" i="16"/>
  <c r="D31" i="11"/>
  <c r="N25" i="11"/>
  <c r="R22" i="11"/>
  <c r="I26" i="11"/>
  <c r="D52" i="18" l="1"/>
  <c r="H39" i="18"/>
  <c r="G41" i="18"/>
  <c r="D52" i="17"/>
  <c r="D54" i="17" s="1"/>
  <c r="D56" i="17"/>
  <c r="H39" i="17"/>
  <c r="G41" i="17"/>
  <c r="D42" i="16"/>
  <c r="H40" i="16"/>
  <c r="I31" i="11"/>
  <c r="N26" i="11"/>
  <c r="D35" i="11"/>
  <c r="G23" i="11"/>
  <c r="D53" i="18" l="1"/>
  <c r="H41" i="18"/>
  <c r="G42" i="18"/>
  <c r="D54" i="18"/>
  <c r="D57" i="17"/>
  <c r="H41" i="17"/>
  <c r="G42" i="17"/>
  <c r="D58" i="17"/>
  <c r="D53" i="17"/>
  <c r="D45" i="16"/>
  <c r="H45" i="16" s="1"/>
  <c r="N31" i="11"/>
  <c r="G25" i="11"/>
  <c r="H23" i="11"/>
  <c r="D37" i="11"/>
  <c r="I35" i="11"/>
  <c r="L23" i="11"/>
  <c r="G46" i="18" l="1"/>
  <c r="H42" i="18"/>
  <c r="G46" i="17"/>
  <c r="H42" i="17"/>
  <c r="J42" i="16"/>
  <c r="T48" i="11"/>
  <c r="D46" i="16"/>
  <c r="H46" i="16" s="1"/>
  <c r="L25" i="11"/>
  <c r="M23" i="11"/>
  <c r="I37" i="11"/>
  <c r="D38" i="11"/>
  <c r="G26" i="11"/>
  <c r="H25" i="11"/>
  <c r="N35" i="11"/>
  <c r="Q23" i="11"/>
  <c r="G48" i="18" l="1"/>
  <c r="H46" i="18"/>
  <c r="G48" i="17"/>
  <c r="H46" i="17"/>
  <c r="Q25" i="11"/>
  <c r="R23" i="11"/>
  <c r="N37" i="11"/>
  <c r="H26" i="11"/>
  <c r="D39" i="11"/>
  <c r="I38" i="11"/>
  <c r="L26" i="11"/>
  <c r="M25" i="11"/>
  <c r="G49" i="18" l="1"/>
  <c r="H48" i="18"/>
  <c r="G49" i="17"/>
  <c r="H48" i="17"/>
  <c r="M26" i="11"/>
  <c r="I39" i="11"/>
  <c r="D42" i="11"/>
  <c r="G29" i="11"/>
  <c r="H29" i="11" s="1"/>
  <c r="G28" i="11"/>
  <c r="N38" i="11"/>
  <c r="Q26" i="11"/>
  <c r="R25" i="11"/>
  <c r="H49" i="18" l="1"/>
  <c r="G50" i="18"/>
  <c r="H49" i="17"/>
  <c r="G50" i="17"/>
  <c r="G30" i="11"/>
  <c r="H28" i="11"/>
  <c r="L29" i="11"/>
  <c r="M29" i="11" s="1"/>
  <c r="L28" i="11"/>
  <c r="R26" i="11"/>
  <c r="N39" i="11"/>
  <c r="D43" i="11"/>
  <c r="D44" i="11" s="1"/>
  <c r="G52" i="18" l="1"/>
  <c r="G54" i="18"/>
  <c r="H54" i="18" s="1"/>
  <c r="H50" i="18"/>
  <c r="D4" i="18" s="1"/>
  <c r="G56" i="17"/>
  <c r="G58" i="17" s="1"/>
  <c r="H58" i="17" s="1"/>
  <c r="G52" i="17"/>
  <c r="G54" i="17" s="1"/>
  <c r="H54" i="17" s="1"/>
  <c r="H50" i="17"/>
  <c r="D4" i="17" s="1"/>
  <c r="Q29" i="11"/>
  <c r="R29" i="11" s="1"/>
  <c r="Q28" i="11"/>
  <c r="M28" i="11"/>
  <c r="L30" i="11"/>
  <c r="H30" i="11"/>
  <c r="G31" i="11"/>
  <c r="H31" i="11" s="1"/>
  <c r="G53" i="18" l="1"/>
  <c r="H53" i="18" s="1"/>
  <c r="H52" i="18"/>
  <c r="G53" i="17"/>
  <c r="H53" i="17" s="1"/>
  <c r="H52" i="17"/>
  <c r="G57" i="17"/>
  <c r="H57" i="17" s="1"/>
  <c r="H56" i="17"/>
  <c r="G35" i="11"/>
  <c r="M30" i="11"/>
  <c r="L31" i="11"/>
  <c r="Q30" i="11"/>
  <c r="R28" i="11"/>
  <c r="N42" i="11"/>
  <c r="L35" i="11" l="1"/>
  <c r="M31" i="11"/>
  <c r="N43" i="11"/>
  <c r="R30" i="11"/>
  <c r="Q31" i="11"/>
  <c r="G37" i="11"/>
  <c r="H35" i="11"/>
  <c r="G38" i="11" l="1"/>
  <c r="H37" i="11"/>
  <c r="Q35" i="11"/>
  <c r="R31" i="11"/>
  <c r="N44" i="11"/>
  <c r="L37" i="11"/>
  <c r="M35" i="11"/>
  <c r="L38" i="11" l="1"/>
  <c r="M37" i="11"/>
  <c r="R35" i="11"/>
  <c r="H38" i="11"/>
  <c r="G39" i="11"/>
  <c r="G42" i="11" l="1"/>
  <c r="Q46" i="11"/>
  <c r="Q38" i="11"/>
  <c r="R37" i="11"/>
  <c r="M38" i="11"/>
  <c r="L39" i="11"/>
  <c r="M39" i="11" s="1"/>
  <c r="R38" i="11" l="1"/>
  <c r="Q39" i="11"/>
  <c r="G43" i="11"/>
  <c r="H43" i="11" s="1"/>
  <c r="R39" i="11" l="1"/>
  <c r="G44" i="11"/>
  <c r="Q42" i="11" l="1"/>
  <c r="R40" i="11"/>
  <c r="Q47" i="11" s="1"/>
  <c r="Q43" i="11" l="1"/>
  <c r="R43" i="11" s="1"/>
  <c r="R42" i="11"/>
  <c r="Q49" i="11" s="1"/>
  <c r="Q44" i="11" l="1"/>
  <c r="R44" i="11" s="1"/>
</calcChain>
</file>

<file path=xl/sharedStrings.xml><?xml version="1.0" encoding="utf-8"?>
<sst xmlns="http://schemas.openxmlformats.org/spreadsheetml/2006/main" count="302" uniqueCount="151">
  <si>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</si>
  <si>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</si>
  <si>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</si>
  <si>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</si>
  <si>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</si>
  <si>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</si>
  <si>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</si>
  <si>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</si>
  <si>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</si>
  <si>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</si>
  <si>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</si>
  <si>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</si>
  <si>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</si>
  <si>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</si>
  <si>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</si>
  <si>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ИТОГО ПО СВОДНОМ СМЕТНОМУ РАСЧЕТУ</t>
  </si>
  <si>
    <t/>
  </si>
  <si>
    <t>№
п/п</t>
  </si>
  <si>
    <t>ИТОГО ПО ГЛАВАМ 1- 10</t>
  </si>
  <si>
    <t>ИТОГО ПО ГЛАВАМ 1- 12</t>
  </si>
  <si>
    <t>"УТВЕРЖДАЮ"</t>
  </si>
  <si>
    <t>Глава 8. Временные здания и сооружения</t>
  </si>
  <si>
    <t>ИТОГО ПО ГЛАВЕ 8</t>
  </si>
  <si>
    <t>"СОГЛАСОВАНО"</t>
  </si>
  <si>
    <t>ТЫС. РУБЛЕЙ без НДС</t>
  </si>
  <si>
    <t>БЛОК 2
Сметная стоимость строительства  
в ценах на 01.01.2000 года</t>
  </si>
  <si>
    <t>Начальник управления капитального строительства</t>
  </si>
  <si>
    <t>от УКС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</si>
  <si>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</si>
  <si>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</si>
  <si>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</si>
  <si>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1. Подготовка территории строительства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</si>
  <si>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</si>
  <si>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</si>
  <si>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ГСН 81-05-01-2001</t>
  </si>
  <si>
    <t>Средства на возведение, разборку временных зданий и сооружений, %=2</t>
  </si>
  <si>
    <t>Всего по сводной таблице в текущих (прогнозных) ценах с учетом снижения затрат, с НДС</t>
  </si>
  <si>
    <t xml:space="preserve"> </t>
  </si>
  <si>
    <t>ИТОГО ПО ГЛАВЕ 1</t>
  </si>
  <si>
    <t>Плановая стоимость объекта в прогнозных ценах года окончания строительства</t>
  </si>
  <si>
    <t xml:space="preserve">Проверил:     Начальник ОКС                                                       А.А.Попов                         </t>
  </si>
  <si>
    <t xml:space="preserve">Проверил:     Начальник ОКС                                                       А.А.Попов                     </t>
  </si>
  <si>
    <t>МДС81-35.2004</t>
  </si>
  <si>
    <t>Л.с. 08-01</t>
  </si>
  <si>
    <t>Временная ВЛЗ-10кв</t>
  </si>
  <si>
    <t xml:space="preserve">       </t>
  </si>
  <si>
    <t>_______________________ /А.А. Воронов</t>
  </si>
  <si>
    <t>Начальник управления капитального строительства                                                     А.А. Воронов</t>
  </si>
  <si>
    <t>Пост.от 21.06.2010 №468</t>
  </si>
  <si>
    <t>Строительный контроль-2.14 %</t>
  </si>
  <si>
    <t>НДС 20%</t>
  </si>
  <si>
    <t xml:space="preserve">ГСН 81-05-02-2007 прил.1,тб.4 п.2,6 </t>
  </si>
  <si>
    <t>Непредвиденные работы и затраты  1,5%</t>
  </si>
  <si>
    <t>БЛОК 1
Утвержденная сметная стоимость  строительства объекта  (в ценах 2 кв.2019 г.)</t>
  </si>
  <si>
    <t>Глава 2. Основные объекты строительства</t>
  </si>
  <si>
    <t>ЛС 02-01.15</t>
  </si>
  <si>
    <t>ИТОГО ПО ГЛАВЕ 2</t>
  </si>
  <si>
    <t>ИТОГО ПО ГЛАВЕ 1-2</t>
  </si>
  <si>
    <t>ГСН 81-05-01-2001 п.2.5</t>
  </si>
  <si>
    <t>Временные здания и сооружения, воздушные линии электропередачи 35 кВ и выше- 3,3%х0,8=2,64%</t>
  </si>
  <si>
    <t>ИТОГО ПО ГЛАВЕ 1- 8</t>
  </si>
  <si>
    <t>Производство работ в зимнее время - 1,3*1,1=1,43%</t>
  </si>
  <si>
    <t>Письмо Минтруда и Минстроя России от 12.08.92г. №1636-РБ/7-26/149</t>
  </si>
  <si>
    <t>Затраты, связанные с премированием за ввод в действие построенных объектов  2,92%</t>
  </si>
  <si>
    <t>РАСЧЕТ 1/15</t>
  </si>
  <si>
    <t xml:space="preserve">Затраты по перебазировке техники  </t>
  </si>
  <si>
    <t>Приказ филиала  ПАО "МРСК С-З" "Комиэнерго"  №182 от 19.04.2018</t>
  </si>
  <si>
    <t xml:space="preserve">Содержание службы заказчика - застройщика , за исключением строительного контроля -3,73% </t>
  </si>
  <si>
    <t>Глава 12. Публичный технологический и ценовой аудит, проектные и изыскательские работы</t>
  </si>
  <si>
    <t>Договор № 4/19-С от 30.05.19, ЛС 1-15</t>
  </si>
  <si>
    <t>МДС81-35.2004  п.4.96</t>
  </si>
  <si>
    <t>Непредвиденные затраты для объектов производственного назначения - 3%</t>
  </si>
  <si>
    <t>'Итого "Непредвиденные затраты"</t>
  </si>
  <si>
    <t>Итого с учетом "Непредвиденные затраты"</t>
  </si>
  <si>
    <t>Утвержденная сметная стоимость в ценах 2 кв.2019 года</t>
  </si>
  <si>
    <t>Заказчик</t>
  </si>
  <si>
    <t>ПАО "МРСК Северо-Запада"</t>
  </si>
  <si>
    <t>(наименование организации)</t>
  </si>
  <si>
    <t>"УТВЕРЖДЕН" "_____ "  ________________2019 г</t>
  </si>
  <si>
    <t xml:space="preserve">Сводный сметный расчет в сумме     </t>
  </si>
  <si>
    <t xml:space="preserve">тыс. руб. без НДС </t>
  </si>
  <si>
    <t>(ссылка на документ об утверждении)</t>
  </si>
  <si>
    <t>"_____"_____________2019 г.</t>
  </si>
  <si>
    <t>СВОДНЫЙ СМЕТНЫЙ РАСЧЕТ СТОИМОСТИ СТРОИТЕЛЬСТВА</t>
  </si>
  <si>
    <t>(наименование стройки)</t>
  </si>
  <si>
    <t>Составлена  в базисных ценах 2000г</t>
  </si>
  <si>
    <t>№ пп</t>
  </si>
  <si>
    <t>Общая сметная стоимость, тыс. руб.</t>
  </si>
  <si>
    <t>строитель-
ных работ</t>
  </si>
  <si>
    <t>оборудования, мебели, инвентаря</t>
  </si>
  <si>
    <t>прочих</t>
  </si>
  <si>
    <t>Итого по Главе 1</t>
  </si>
  <si>
    <t>Итого по Главе 2</t>
  </si>
  <si>
    <t>Итого по Главам 1-2</t>
  </si>
  <si>
    <t>ГСН-81-05-01-2001 п.2.5</t>
  </si>
  <si>
    <t>Итого по Главе 8</t>
  </si>
  <si>
    <t>Итого по Главам 1-8</t>
  </si>
  <si>
    <t>ГСН81-05-02-2001 табл.4, п.2.6</t>
  </si>
  <si>
    <t xml:space="preserve">Затраты при производстве работ в зимнее время 1,3*1,1=1,43% </t>
  </si>
  <si>
    <t>Итого по главе 9</t>
  </si>
  <si>
    <t>Итого по главам 1-9</t>
  </si>
  <si>
    <t>Глава 10. Содержание службы заказчика. Строительный контроль</t>
  </si>
  <si>
    <t>Приказ Филиала ПАО "МРСК Северо-Запада" "Комиэнерго" №182 от 19.04.2018</t>
  </si>
  <si>
    <t>Содержание службы заказчика-застройщика, за исключением строительного контроля (3,73% от глав 1-9 и главы 12)</t>
  </si>
  <si>
    <t>Постановление Правительства РФ от 21.06.2010 №468 "О порядке проведения строительного контроля при осуществлении строительства, реконструкции и капитального ремонта объектов капитального строительства"</t>
  </si>
  <si>
    <t>Строительный контроль (2,14% от глав 1-9)</t>
  </si>
  <si>
    <t>Итого по Главе 10</t>
  </si>
  <si>
    <t>Итого по Главам 1-10</t>
  </si>
  <si>
    <t>Итого по Главе 12</t>
  </si>
  <si>
    <t>Итого по Главам 1-12</t>
  </si>
  <si>
    <t>Непредвиденные затраты</t>
  </si>
  <si>
    <t>МДС 81-35.2004 п.4.96</t>
  </si>
  <si>
    <t>Итого "Непредвиденные затраты"</t>
  </si>
  <si>
    <t>Налоги и обязательные платежи</t>
  </si>
  <si>
    <t>МДС 81-35.2004 п.4.100</t>
  </si>
  <si>
    <t>НДС - 20%</t>
  </si>
  <si>
    <t>Итого Налоги</t>
  </si>
  <si>
    <t>ИТОГО  с НДС</t>
  </si>
  <si>
    <t>Руководитель проектной организации: Генеральный директор АО «Энергосервис Северо-Запада»                                                                    Охотин В.Г.</t>
  </si>
  <si>
    <t>(должность, подпись, расшифровка)</t>
  </si>
  <si>
    <t>Главный инженер  АО «Энергосервис Северо-Запада»                                                                                                                                                 Будовский Е.В.</t>
  </si>
  <si>
    <t xml:space="preserve">Рабочая и лесоустроительная документация по объекту  «Реконструкция ВЛ 35 кВ № 32 ПС «В.Омра» - ПС «Н.Омра» с отпайкой на ТП-35/6 в части расширения просек в Троицко-Печорском районе Республики Коми в объеме 41,4396га (ЦЭС)» </t>
  </si>
  <si>
    <t>Смета 1-32                 Договор № 4/19-С от 30.05.19</t>
  </si>
  <si>
    <t>РАСЧЕТ 1/32</t>
  </si>
  <si>
    <t xml:space="preserve">«Реконструкция ВЛ 35 кВ № 32 ПС «В.Омра» - ПС «Н.Омра» с отпайкой на ТП-35/6 в части расширения просек в Троицко-Печорском районе Республики Коми в объеме 41,4396га (ЦЭС)» </t>
  </si>
  <si>
    <t>ЛС 02-01.32</t>
  </si>
  <si>
    <t>Составлена  в ценах по состоянию на 2 квартал 2019г</t>
  </si>
  <si>
    <t xml:space="preserve">«Реконструкция ВЛ 35-220кВ в части расширения просек», ««Реконструкция ВЛ 35 кВ № 32 ПС «В.Омра» - ПС «Н.Омра» с отпайкой на ТП-35/6 в части расширения просек в Троицко-Печорском районе Республики Коми в объеме 41,4396га (ЦЭС)» </t>
  </si>
  <si>
    <t xml:space="preserve">Сметный расчет МЭ по объекту: «Реконструкция ВЛ 35-220кВ в части расширения просек», ««Реконструкция ВЛ 35 кВ № 32 ПС «В.Омра» - ПС «Н.Омра» с отпайкой на ТП-35/6 в части расширения просек в Троицко-Печорском районе Республики Коми в объеме 41,4396га (ЦЭС)» </t>
  </si>
  <si>
    <t xml:space="preserve">Расчет начальной максимальной цены лота на выполнение СМР (в соответствии с утвержденным сметным расчетом) по объекту: «Реконструкция ВЛ 35-220кВ в части расширения просек», ««Реконструкция ВЛ 35 кВ № 32 ПС «В.Омра» - ПС «Н.Омра» с отпайкой на ТП-35/6 в части расширения просек в Троицко-Печорском районе Республики Коми в объеме 41,4396га (ЦЭС)» </t>
  </si>
  <si>
    <t>«Реконструкция ВЛ 35 кВ № 32 ПС «В.Омра» - ПС «Н.Омра» с отпайкой на ТП-35/6 в части расширения просек в Троицко-Печорском районе Республики Коми в объеме 41,4396га (ЦЭС)»</t>
  </si>
  <si>
    <t>Заместитель директора по инвестиционной деятельности филиала ПАО "МРСК Северо-Запада" в Республике Коми  
_________________________ В.Ю. Размыслов</t>
  </si>
  <si>
    <t>Заместитель директора по инвестиционной деятельности
филиала ПАО "МРСК Северо-Запада" в Республике Коми  
_________________________ В.Ю. Размыслов</t>
  </si>
  <si>
    <t>БЛОК 3                                                                                                   Плановая стоимость объекта в прогнозных ценах 2023 года относительно уровня 4 квартала 2017 года.</t>
  </si>
  <si>
    <t>С учетом индексов-дефляторов на 2023 г. 1,053*1,074*1,036*1,037*1,037*1,038</t>
  </si>
  <si>
    <t xml:space="preserve">Разработал:      Ведущий инженер ОКС                                         А.А. Чупрова                                                                   </t>
  </si>
  <si>
    <t>"__"_________ 20  г.</t>
  </si>
  <si>
    <t>Стоимость лота  в ценах 2023 года</t>
  </si>
  <si>
    <t>ИТОГО плановая цена  в ценах 2023 года</t>
  </si>
  <si>
    <t>Составлен в базисных ценах 2001 года с пересчетом в текущие цены на 2023 год</t>
  </si>
  <si>
    <t>Разработал:       Ведущий инженер ОКС                                                      А.А. Чупрова</t>
  </si>
  <si>
    <t xml:space="preserve">Индексы на 4 квартал 2019 года </t>
  </si>
  <si>
    <t>Письмо Минстроя России от 09.12.2019 №46999-ДВ/09</t>
  </si>
  <si>
    <t>Стоимость строительства в ценах 4 квартала 2019 года</t>
  </si>
  <si>
    <t>Индексы - дефляторы МЭР по строке "Капвложения" на 2023 год (указать период выпуска)</t>
  </si>
  <si>
    <t>га</t>
  </si>
  <si>
    <t>за га</t>
  </si>
  <si>
    <t>факт</t>
  </si>
  <si>
    <t>остаток на лот</t>
  </si>
  <si>
    <t>Фактическое выполнение 6040136,73/1000</t>
  </si>
  <si>
    <t>Стоимость строительства в ценах на период строительства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</si>
</sst>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-* #,##0_р_._-;\-* #,##0_р_._-;_-* &quot;-&quot;??_р_._-;_-@_-"/>
    <numFmt numFmtId="166" formatCode="#,##0.000"/>
    <numFmt numFmtId="167" formatCode="0.000"/>
    <numFmt numFmtId="168" formatCode="#,##0.00000"/>
    <numFmt numFmtId="169" formatCode="#,##0.0000000"/>
    <numFmt numFmtId="170" formatCode="#,##0.000\ _₽"/>
    <numFmt numFmtId="171" formatCode="#,##0.00;[Red]\-#,##0.00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1"/>
      <color indexed="8"/>
      <name val="Arial"/>
      <family val="2"/>
      <charset val="204"/>
    </font>
    <font>
      <b/>
      <sz val="10"/>
      <name val="Times New Roman"/>
      <family val="1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8">
    <xf numFmtId="0" fontId="0" fillId="0" borderId="0"/>
    <xf numFmtId="0" fontId="7" fillId="0" borderId="1">
      <alignment horizontal="center" vertical="center"/>
    </xf>
    <xf numFmtId="0" fontId="7" fillId="0" borderId="1">
      <alignment horizontal="center" vertical="center"/>
    </xf>
    <xf numFmtId="0" fontId="8" fillId="0" borderId="0">
      <alignment horizontal="left" vertical="top"/>
    </xf>
    <xf numFmtId="0" fontId="9" fillId="0" borderId="0">
      <alignment horizontal="left" vertical="top"/>
    </xf>
    <xf numFmtId="0" fontId="10" fillId="0" borderId="0">
      <alignment horizontal="right" vertical="top"/>
    </xf>
    <xf numFmtId="0" fontId="11" fillId="0" borderId="0"/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7">
      <alignment horizontal="left" vertical="top"/>
    </xf>
    <xf numFmtId="0" fontId="12" fillId="0" borderId="0">
      <alignment horizontal="center" vertical="top"/>
    </xf>
    <xf numFmtId="0" fontId="12" fillId="0" borderId="0">
      <alignment horizontal="left" vertical="top"/>
    </xf>
    <xf numFmtId="0" fontId="12" fillId="0" borderId="0">
      <alignment horizontal="righ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3" fillId="0" borderId="0">
      <alignment horizontal="center" vertical="center"/>
    </xf>
    <xf numFmtId="0" fontId="14" fillId="0" borderId="0">
      <alignment horizontal="left" vertical="top"/>
    </xf>
    <xf numFmtId="0" fontId="12" fillId="0" borderId="0">
      <alignment horizontal="left" vertical="top"/>
    </xf>
    <xf numFmtId="0" fontId="9" fillId="0" borderId="8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9">
      <alignment horizontal="center" vertical="center"/>
    </xf>
    <xf numFmtId="0" fontId="9" fillId="0" borderId="1">
      <alignment horizontal="center" vertical="center"/>
    </xf>
    <xf numFmtId="0" fontId="9" fillId="0" borderId="8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9">
      <alignment horizontal="center" vertical="center"/>
    </xf>
    <xf numFmtId="0" fontId="15" fillId="0" borderId="7">
      <alignment horizontal="left" vertical="top"/>
    </xf>
    <xf numFmtId="0" fontId="9" fillId="0" borderId="0">
      <alignment horizontal="righ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7" fillId="0" borderId="7">
      <alignment horizontal="left" vertical="top"/>
    </xf>
    <xf numFmtId="0" fontId="16" fillId="0" borderId="0">
      <alignment horizontal="right" vertical="top"/>
    </xf>
    <xf numFmtId="0" fontId="16" fillId="0" borderId="0">
      <alignment horizontal="left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2" fillId="0" borderId="7">
      <alignment horizontal="left" vertical="top"/>
    </xf>
    <xf numFmtId="0" fontId="16" fillId="0" borderId="0">
      <alignment horizontal="left"/>
    </xf>
    <xf numFmtId="0" fontId="16" fillId="0" borderId="0">
      <alignment horizontal="left"/>
    </xf>
    <xf numFmtId="0" fontId="16" fillId="0" borderId="0">
      <alignment horizontal="left" vertical="top"/>
    </xf>
    <xf numFmtId="0" fontId="12" fillId="0" borderId="7">
      <alignment horizontal="left"/>
    </xf>
    <xf numFmtId="0" fontId="17" fillId="0" borderId="0">
      <alignment horizontal="left" vertical="top"/>
    </xf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6" fillId="0" borderId="0"/>
    <xf numFmtId="0" fontId="54" fillId="0" borderId="0">
      <alignment horizontal="left" vertical="top"/>
    </xf>
    <xf numFmtId="0" fontId="54" fillId="0" borderId="0">
      <alignment horizontal="right" vertical="top"/>
    </xf>
    <xf numFmtId="0" fontId="54" fillId="0" borderId="0">
      <alignment horizontal="left" vertical="top"/>
    </xf>
    <xf numFmtId="0" fontId="61" fillId="0" borderId="0"/>
  </cellStyleXfs>
  <cellXfs count="527">
    <xf numFmtId="0" fontId="0" fillId="0" borderId="0" xfId="0"/>
    <xf numFmtId="0" fontId="11" fillId="0" borderId="0" xfId="6" applyAlignment="1">
      <alignment wrapText="1"/>
    </xf>
    <xf numFmtId="0" fontId="16" fillId="0" borderId="0" xfId="46" quotePrefix="1" applyAlignment="1">
      <alignment horizontal="left" wrapText="1"/>
    </xf>
    <xf numFmtId="0" fontId="6" fillId="0" borderId="0" xfId="56"/>
    <xf numFmtId="0" fontId="22" fillId="0" borderId="0" xfId="56" applyFont="1"/>
    <xf numFmtId="0" fontId="23" fillId="0" borderId="0" xfId="10" applyFont="1" applyBorder="1" applyAlignment="1">
      <alignment horizontal="left" vertical="top" wrapText="1"/>
    </xf>
    <xf numFmtId="0" fontId="23" fillId="0" borderId="0" xfId="18" applyFont="1" applyBorder="1" applyAlignment="1">
      <alignment horizontal="left" vertical="top" wrapText="1"/>
    </xf>
    <xf numFmtId="165" fontId="25" fillId="0" borderId="0" xfId="56" applyNumberFormat="1" applyFont="1" applyFill="1" applyBorder="1" applyAlignment="1">
      <alignment horizontal="left" vertical="center" wrapText="1"/>
    </xf>
    <xf numFmtId="0" fontId="26" fillId="0" borderId="0" xfId="56" applyFont="1"/>
    <xf numFmtId="0" fontId="15" fillId="0" borderId="6" xfId="30" quotePrefix="1" applyBorder="1" applyAlignment="1">
      <alignment horizontal="left" vertical="top" wrapText="1"/>
    </xf>
    <xf numFmtId="0" fontId="15" fillId="0" borderId="19" xfId="30" quotePrefix="1" applyBorder="1" applyAlignment="1">
      <alignment horizontal="left" vertical="top" wrapText="1"/>
    </xf>
    <xf numFmtId="0" fontId="0" fillId="0" borderId="0" xfId="0" applyBorder="1" applyAlignment="1">
      <alignment horizontal="left" vertical="center" wrapText="1"/>
    </xf>
    <xf numFmtId="165" fontId="21" fillId="0" borderId="0" xfId="60" applyNumberFormat="1" applyFont="1" applyFill="1" applyBorder="1" applyAlignment="1">
      <alignment horizontal="center" vertical="center" wrapText="1"/>
    </xf>
    <xf numFmtId="165" fontId="20" fillId="0" borderId="0" xfId="56" applyNumberFormat="1" applyFont="1" applyFill="1" applyBorder="1" applyAlignment="1">
      <alignment horizontal="left" vertical="center" wrapText="1"/>
    </xf>
    <xf numFmtId="0" fontId="16" fillId="0" borderId="30" xfId="25" applyNumberFormat="1" applyFont="1" applyBorder="1" applyAlignment="1">
      <alignment horizontal="center" vertical="center" wrapText="1"/>
    </xf>
    <xf numFmtId="0" fontId="16" fillId="0" borderId="31" xfId="26" applyNumberFormat="1" applyFont="1" applyBorder="1" applyAlignment="1">
      <alignment horizontal="center" vertical="center" wrapText="1"/>
    </xf>
    <xf numFmtId="0" fontId="16" fillId="0" borderId="30" xfId="28" applyNumberFormat="1" applyFont="1" applyBorder="1" applyAlignment="1">
      <alignment horizontal="center" vertical="center" wrapText="1"/>
    </xf>
    <xf numFmtId="0" fontId="16" fillId="0" borderId="31" xfId="28" applyNumberFormat="1" applyFont="1" applyBorder="1" applyAlignment="1">
      <alignment horizontal="center" vertical="center" wrapText="1"/>
    </xf>
    <xf numFmtId="0" fontId="16" fillId="0" borderId="32" xfId="28" applyNumberFormat="1" applyFont="1" applyBorder="1" applyAlignment="1">
      <alignment horizontal="center" vertical="center" wrapText="1"/>
    </xf>
    <xf numFmtId="0" fontId="9" fillId="0" borderId="30" xfId="24" quotePrefix="1" applyBorder="1" applyAlignment="1">
      <alignment horizontal="center" vertical="center" wrapText="1"/>
    </xf>
    <xf numFmtId="0" fontId="9" fillId="0" borderId="31" xfId="24" quotePrefix="1" applyBorder="1" applyAlignment="1">
      <alignment horizontal="center" vertical="center" wrapText="1"/>
    </xf>
    <xf numFmtId="4" fontId="18" fillId="0" borderId="30" xfId="24" quotePrefix="1" applyNumberFormat="1" applyFont="1" applyBorder="1" applyAlignment="1">
      <alignment horizontal="center" vertical="center" wrapText="1"/>
    </xf>
    <xf numFmtId="4" fontId="18" fillId="0" borderId="31" xfId="24" quotePrefix="1" applyNumberFormat="1" applyFont="1" applyBorder="1" applyAlignment="1">
      <alignment horizontal="center" vertical="center" wrapText="1"/>
    </xf>
    <xf numFmtId="4" fontId="18" fillId="0" borderId="32" xfId="24" quotePrefix="1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6" fillId="0" borderId="33" xfId="27" applyNumberFormat="1" applyFont="1" applyBorder="1" applyAlignment="1">
      <alignment horizontal="center" vertical="center" wrapText="1"/>
    </xf>
    <xf numFmtId="165" fontId="20" fillId="0" borderId="0" xfId="56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9" fillId="0" borderId="35" xfId="23" quotePrefix="1" applyBorder="1" applyAlignment="1">
      <alignment horizontal="center" vertical="center" wrapText="1"/>
    </xf>
    <xf numFmtId="0" fontId="9" fillId="0" borderId="37" xfId="24" quotePrefix="1" applyBorder="1" applyAlignment="1">
      <alignment horizontal="center" vertical="center" wrapText="1"/>
    </xf>
    <xf numFmtId="0" fontId="16" fillId="0" borderId="29" xfId="29" applyNumberFormat="1" applyFont="1" applyBorder="1" applyAlignment="1">
      <alignment horizontal="center" vertical="center" wrapText="1"/>
    </xf>
    <xf numFmtId="0" fontId="18" fillId="0" borderId="36" xfId="29" applyNumberFormat="1" applyFont="1" applyBorder="1" applyAlignment="1">
      <alignment horizontal="center" vertical="center" wrapText="1"/>
    </xf>
    <xf numFmtId="0" fontId="18" fillId="0" borderId="37" xfId="29" applyNumberFormat="1" applyFont="1" applyBorder="1" applyAlignment="1">
      <alignment horizontal="center" vertical="center" wrapText="1"/>
    </xf>
    <xf numFmtId="0" fontId="18" fillId="0" borderId="38" xfId="29" applyNumberFormat="1" applyFont="1" applyBorder="1" applyAlignment="1">
      <alignment horizontal="center" vertical="center" wrapText="1"/>
    </xf>
    <xf numFmtId="4" fontId="18" fillId="0" borderId="29" xfId="23" quotePrefix="1" applyNumberFormat="1" applyFont="1" applyBorder="1" applyAlignment="1">
      <alignment vertical="center" wrapText="1"/>
    </xf>
    <xf numFmtId="0" fontId="18" fillId="0" borderId="29" xfId="29" applyNumberFormat="1" applyFont="1" applyBorder="1" applyAlignment="1">
      <alignment horizontal="center" vertical="center" wrapText="1"/>
    </xf>
    <xf numFmtId="0" fontId="11" fillId="0" borderId="0" xfId="6" applyAlignment="1">
      <alignment horizontal="right"/>
    </xf>
    <xf numFmtId="0" fontId="12" fillId="0" borderId="0" xfId="10" quotePrefix="1" applyBorder="1" applyAlignment="1">
      <alignment horizontal="left" vertical="top" wrapText="1"/>
    </xf>
    <xf numFmtId="0" fontId="12" fillId="0" borderId="0" xfId="10" applyBorder="1" applyAlignment="1">
      <alignment horizontal="left" vertical="top" wrapText="1"/>
    </xf>
    <xf numFmtId="4" fontId="18" fillId="0" borderId="33" xfId="23" quotePrefix="1" applyNumberFormat="1" applyFont="1" applyBorder="1" applyAlignment="1">
      <alignment vertical="center" wrapText="1"/>
    </xf>
    <xf numFmtId="0" fontId="28" fillId="0" borderId="0" xfId="47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 wrapText="1"/>
    </xf>
    <xf numFmtId="166" fontId="16" fillId="0" borderId="11" xfId="34" applyNumberFormat="1" applyFont="1" applyFill="1" applyBorder="1" applyAlignment="1">
      <alignment horizontal="right" vertical="top" wrapText="1"/>
    </xf>
    <xf numFmtId="166" fontId="16" fillId="0" borderId="1" xfId="34" applyNumberFormat="1" applyFont="1" applyFill="1" applyBorder="1" applyAlignment="1">
      <alignment horizontal="right" vertical="top" wrapText="1"/>
    </xf>
    <xf numFmtId="166" fontId="16" fillId="0" borderId="9" xfId="34" applyNumberFormat="1" applyFont="1" applyFill="1" applyBorder="1" applyAlignment="1">
      <alignment horizontal="right" vertical="top" wrapText="1"/>
    </xf>
    <xf numFmtId="166" fontId="16" fillId="0" borderId="12" xfId="34" applyNumberFormat="1" applyFont="1" applyFill="1" applyBorder="1" applyAlignment="1">
      <alignment horizontal="right" vertical="top" wrapText="1"/>
    </xf>
    <xf numFmtId="166" fontId="16" fillId="0" borderId="15" xfId="38" applyNumberFormat="1" applyFont="1" applyBorder="1" applyAlignment="1">
      <alignment horizontal="right" vertical="top" wrapText="1"/>
    </xf>
    <xf numFmtId="166" fontId="16" fillId="0" borderId="8" xfId="38" applyNumberFormat="1" applyFont="1" applyBorder="1" applyAlignment="1">
      <alignment horizontal="right" vertical="top" wrapText="1"/>
    </xf>
    <xf numFmtId="166" fontId="15" fillId="0" borderId="6" xfId="30" quotePrefix="1" applyNumberFormat="1" applyBorder="1" applyAlignment="1">
      <alignment horizontal="left" vertical="top" wrapText="1"/>
    </xf>
    <xf numFmtId="166" fontId="16" fillId="0" borderId="27" xfId="38" applyNumberFormat="1" applyFont="1" applyBorder="1" applyAlignment="1">
      <alignment horizontal="right" vertical="top" wrapText="1"/>
    </xf>
    <xf numFmtId="166" fontId="16" fillId="0" borderId="45" xfId="38" applyNumberFormat="1" applyFont="1" applyBorder="1" applyAlignment="1">
      <alignment horizontal="right" vertical="top" wrapText="1"/>
    </xf>
    <xf numFmtId="166" fontId="16" fillId="0" borderId="2" xfId="38" applyNumberFormat="1" applyFont="1" applyBorder="1" applyAlignment="1">
      <alignment horizontal="right" vertical="top" wrapText="1"/>
    </xf>
    <xf numFmtId="166" fontId="16" fillId="0" borderId="11" xfId="38" applyNumberFormat="1" applyFont="1" applyBorder="1" applyAlignment="1">
      <alignment horizontal="right" vertical="top" wrapText="1"/>
    </xf>
    <xf numFmtId="166" fontId="16" fillId="0" borderId="1" xfId="38" applyNumberFormat="1" applyFont="1" applyBorder="1" applyAlignment="1">
      <alignment horizontal="right" vertical="top" wrapText="1"/>
    </xf>
    <xf numFmtId="166" fontId="16" fillId="0" borderId="9" xfId="38" applyNumberFormat="1" applyFont="1" applyBorder="1" applyAlignment="1">
      <alignment horizontal="right" vertical="top" wrapText="1"/>
    </xf>
    <xf numFmtId="166" fontId="16" fillId="0" borderId="12" xfId="38" applyNumberFormat="1" applyFont="1" applyBorder="1" applyAlignment="1">
      <alignment horizontal="right" vertical="top" wrapText="1"/>
    </xf>
    <xf numFmtId="166" fontId="16" fillId="0" borderId="14" xfId="38" applyNumberFormat="1" applyFont="1" applyBorder="1" applyAlignment="1">
      <alignment horizontal="right" vertical="top" wrapText="1"/>
    </xf>
    <xf numFmtId="166" fontId="16" fillId="0" borderId="16" xfId="38" applyNumberFormat="1" applyFont="1" applyBorder="1" applyAlignment="1">
      <alignment horizontal="right" vertical="top" wrapText="1"/>
    </xf>
    <xf numFmtId="166" fontId="15" fillId="0" borderId="19" xfId="30" quotePrefix="1" applyNumberFormat="1" applyBorder="1" applyAlignment="1">
      <alignment horizontal="left" vertical="top" wrapText="1"/>
    </xf>
    <xf numFmtId="166" fontId="16" fillId="0" borderId="11" xfId="38" applyNumberFormat="1" applyFont="1" applyFill="1" applyBorder="1" applyAlignment="1">
      <alignment horizontal="right" vertical="top" wrapText="1"/>
    </xf>
    <xf numFmtId="166" fontId="16" fillId="0" borderId="1" xfId="38" applyNumberFormat="1" applyFont="1" applyFill="1" applyBorder="1" applyAlignment="1">
      <alignment horizontal="right" vertical="top" wrapText="1"/>
    </xf>
    <xf numFmtId="166" fontId="16" fillId="0" borderId="12" xfId="38" applyNumberFormat="1" applyFont="1" applyFill="1" applyBorder="1" applyAlignment="1">
      <alignment horizontal="right" vertical="top" wrapText="1"/>
    </xf>
    <xf numFmtId="166" fontId="16" fillId="0" borderId="9" xfId="38" applyNumberFormat="1" applyFont="1" applyFill="1" applyBorder="1" applyAlignment="1">
      <alignment horizontal="right" vertical="top" wrapText="1"/>
    </xf>
    <xf numFmtId="166" fontId="18" fillId="0" borderId="12" xfId="38" applyNumberFormat="1" applyFont="1" applyFill="1" applyBorder="1" applyAlignment="1">
      <alignment horizontal="right" vertical="top" wrapText="1"/>
    </xf>
    <xf numFmtId="166" fontId="16" fillId="0" borderId="14" xfId="38" applyNumberFormat="1" applyFont="1" applyFill="1" applyBorder="1" applyAlignment="1">
      <alignment horizontal="right" vertical="top" wrapText="1"/>
    </xf>
    <xf numFmtId="166" fontId="16" fillId="0" borderId="15" xfId="38" applyNumberFormat="1" applyFont="1" applyFill="1" applyBorder="1" applyAlignment="1">
      <alignment horizontal="right" vertical="top" wrapText="1"/>
    </xf>
    <xf numFmtId="166" fontId="16" fillId="0" borderId="17" xfId="38" applyNumberFormat="1" applyFont="1" applyFill="1" applyBorder="1" applyAlignment="1">
      <alignment horizontal="right" vertical="top" wrapText="1"/>
    </xf>
    <xf numFmtId="166" fontId="16" fillId="0" borderId="16" xfId="38" applyNumberFormat="1" applyFont="1" applyFill="1" applyBorder="1" applyAlignment="1">
      <alignment horizontal="right" vertical="top" wrapText="1"/>
    </xf>
    <xf numFmtId="166" fontId="18" fillId="0" borderId="16" xfId="38" applyNumberFormat="1" applyFont="1" applyFill="1" applyBorder="1" applyAlignment="1">
      <alignment horizontal="right" vertical="top" wrapText="1"/>
    </xf>
    <xf numFmtId="166" fontId="16" fillId="0" borderId="48" xfId="38" applyNumberFormat="1" applyFont="1" applyFill="1" applyBorder="1" applyAlignment="1">
      <alignment horizontal="right" vertical="top" wrapText="1"/>
    </xf>
    <xf numFmtId="166" fontId="16" fillId="0" borderId="45" xfId="38" applyNumberFormat="1" applyFont="1" applyFill="1" applyBorder="1" applyAlignment="1">
      <alignment horizontal="right" vertical="top" wrapText="1"/>
    </xf>
    <xf numFmtId="166" fontId="16" fillId="0" borderId="2" xfId="38" applyNumberFormat="1" applyFont="1" applyFill="1" applyBorder="1" applyAlignment="1">
      <alignment horizontal="right" vertical="top" wrapText="1"/>
    </xf>
    <xf numFmtId="166" fontId="16" fillId="0" borderId="44" xfId="38" applyNumberFormat="1" applyFont="1" applyFill="1" applyBorder="1" applyAlignment="1">
      <alignment horizontal="right" vertical="top" wrapText="1"/>
    </xf>
    <xf numFmtId="166" fontId="16" fillId="0" borderId="27" xfId="38" applyNumberFormat="1" applyFont="1" applyFill="1" applyBorder="1" applyAlignment="1">
      <alignment horizontal="right" vertical="top" wrapText="1"/>
    </xf>
    <xf numFmtId="166" fontId="18" fillId="0" borderId="27" xfId="38" applyNumberFormat="1" applyFont="1" applyFill="1" applyBorder="1" applyAlignment="1">
      <alignment horizontal="right" vertical="top" wrapText="1"/>
    </xf>
    <xf numFmtId="166" fontId="18" fillId="0" borderId="8" xfId="38" applyNumberFormat="1" applyFont="1" applyBorder="1" applyAlignment="1">
      <alignment horizontal="right" vertical="top" wrapText="1"/>
    </xf>
    <xf numFmtId="166" fontId="18" fillId="0" borderId="1" xfId="38" applyNumberFormat="1" applyFont="1" applyBorder="1" applyAlignment="1">
      <alignment horizontal="right" vertical="top" wrapText="1"/>
    </xf>
    <xf numFmtId="166" fontId="18" fillId="0" borderId="9" xfId="38" applyNumberFormat="1" applyFont="1" applyBorder="1" applyAlignment="1">
      <alignment horizontal="right" vertical="top" wrapText="1"/>
    </xf>
    <xf numFmtId="166" fontId="18" fillId="0" borderId="12" xfId="38" applyNumberFormat="1" applyFont="1" applyBorder="1" applyAlignment="1">
      <alignment horizontal="right" vertical="top" wrapText="1"/>
    </xf>
    <xf numFmtId="166" fontId="18" fillId="0" borderId="21" xfId="38" applyNumberFormat="1" applyFont="1" applyBorder="1" applyAlignment="1">
      <alignment horizontal="right" vertical="top" wrapText="1"/>
    </xf>
    <xf numFmtId="166" fontId="18" fillId="0" borderId="15" xfId="38" applyNumberFormat="1" applyFont="1" applyBorder="1" applyAlignment="1">
      <alignment horizontal="right" vertical="top" wrapText="1"/>
    </xf>
    <xf numFmtId="166" fontId="18" fillId="0" borderId="17" xfId="38" applyNumberFormat="1" applyFont="1" applyBorder="1" applyAlignment="1">
      <alignment horizontal="right" vertical="top" wrapText="1"/>
    </xf>
    <xf numFmtId="166" fontId="18" fillId="0" borderId="16" xfId="38" applyNumberFormat="1" applyFont="1" applyBorder="1" applyAlignment="1">
      <alignment horizontal="right" vertical="top" wrapText="1"/>
    </xf>
    <xf numFmtId="166" fontId="23" fillId="0" borderId="0" xfId="18" applyNumberFormat="1" applyFont="1" applyBorder="1" applyAlignment="1">
      <alignment horizontal="left" vertical="top" wrapText="1"/>
    </xf>
    <xf numFmtId="166" fontId="16" fillId="0" borderId="43" xfId="38" applyNumberFormat="1" applyFont="1" applyFill="1" applyBorder="1" applyAlignment="1">
      <alignment horizontal="right" vertical="top" wrapText="1"/>
    </xf>
    <xf numFmtId="166" fontId="18" fillId="0" borderId="2" xfId="38" applyNumberFormat="1" applyFont="1" applyBorder="1" applyAlignment="1">
      <alignment horizontal="right" vertical="top" wrapText="1"/>
    </xf>
    <xf numFmtId="166" fontId="32" fillId="0" borderId="27" xfId="38" applyNumberFormat="1" applyFont="1" applyBorder="1" applyAlignment="1">
      <alignment horizontal="right" vertical="top" wrapText="1"/>
    </xf>
    <xf numFmtId="166" fontId="15" fillId="0" borderId="12" xfId="38" applyNumberFormat="1" applyFont="1" applyFill="1" applyBorder="1" applyAlignment="1">
      <alignment horizontal="right" vertical="top" wrapText="1"/>
    </xf>
    <xf numFmtId="0" fontId="9" fillId="0" borderId="0" xfId="4" quotePrefix="1" applyBorder="1" applyAlignment="1">
      <alignment vertical="top" wrapText="1"/>
    </xf>
    <xf numFmtId="0" fontId="9" fillId="0" borderId="0" xfId="4" quotePrefix="1" applyBorder="1" applyAlignment="1">
      <alignment horizontal="center" vertical="center" wrapText="1"/>
    </xf>
    <xf numFmtId="0" fontId="12" fillId="0" borderId="0" xfId="7" applyBorder="1" applyAlignment="1">
      <alignment horizontal="center" vertical="center" wrapText="1"/>
    </xf>
    <xf numFmtId="0" fontId="12" fillId="0" borderId="0" xfId="8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2" fillId="0" borderId="0" xfId="9" quotePrefix="1" applyBorder="1" applyAlignment="1">
      <alignment vertical="top" wrapText="1"/>
    </xf>
    <xf numFmtId="0" fontId="12" fillId="0" borderId="0" xfId="9" applyBorder="1" applyAlignment="1">
      <alignment vertical="top" wrapText="1"/>
    </xf>
    <xf numFmtId="0" fontId="35" fillId="0" borderId="49" xfId="24" quotePrefix="1" applyFont="1" applyBorder="1" applyAlignment="1">
      <alignment horizontal="center" vertical="center" wrapText="1"/>
    </xf>
    <xf numFmtId="0" fontId="35" fillId="0" borderId="31" xfId="24" quotePrefix="1" applyFont="1" applyBorder="1" applyAlignment="1">
      <alignment horizontal="center" vertical="center" wrapText="1"/>
    </xf>
    <xf numFmtId="0" fontId="35" fillId="0" borderId="50" xfId="24" quotePrefix="1" applyFont="1" applyBorder="1" applyAlignment="1">
      <alignment horizontal="center" vertical="center" wrapText="1"/>
    </xf>
    <xf numFmtId="0" fontId="16" fillId="0" borderId="36" xfId="28" applyNumberFormat="1" applyFont="1" applyBorder="1" applyAlignment="1">
      <alignment horizontal="center" vertical="center" wrapText="1"/>
    </xf>
    <xf numFmtId="0" fontId="16" fillId="0" borderId="37" xfId="28" applyNumberFormat="1" applyFont="1" applyBorder="1" applyAlignment="1">
      <alignment horizontal="center" vertical="center" wrapText="1"/>
    </xf>
    <xf numFmtId="0" fontId="16" fillId="0" borderId="50" xfId="28" applyNumberFormat="1" applyFont="1" applyBorder="1" applyAlignment="1">
      <alignment horizontal="center" vertical="center" wrapText="1"/>
    </xf>
    <xf numFmtId="165" fontId="20" fillId="0" borderId="0" xfId="6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60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37" fillId="0" borderId="0" xfId="63" applyFont="1" applyAlignment="1" applyProtection="1">
      <alignment vertical="center" wrapText="1"/>
      <protection locked="0"/>
    </xf>
    <xf numFmtId="0" fontId="37" fillId="0" borderId="0" xfId="63" applyFont="1" applyAlignment="1" applyProtection="1">
      <alignment horizontal="left" vertical="center"/>
      <protection locked="0"/>
    </xf>
    <xf numFmtId="0" fontId="19" fillId="0" borderId="0" xfId="60" applyFont="1" applyAlignment="1">
      <alignment horizontal="center" vertical="center"/>
    </xf>
    <xf numFmtId="0" fontId="19" fillId="0" borderId="0" xfId="60" applyFont="1" applyAlignment="1"/>
    <xf numFmtId="0" fontId="11" fillId="0" borderId="0" xfId="6" applyAlignment="1">
      <alignment horizontal="center" vertical="center" wrapText="1"/>
    </xf>
    <xf numFmtId="166" fontId="0" fillId="0" borderId="0" xfId="0" applyNumberFormat="1" applyFill="1" applyBorder="1" applyAlignment="1">
      <alignment horizontal="center" vertical="center" wrapText="1"/>
    </xf>
    <xf numFmtId="166" fontId="16" fillId="0" borderId="39" xfId="38" applyNumberFormat="1" applyFont="1" applyBorder="1" applyAlignment="1">
      <alignment horizontal="right" vertical="top" wrapText="1"/>
    </xf>
    <xf numFmtId="166" fontId="16" fillId="0" borderId="21" xfId="38" applyNumberFormat="1" applyFont="1" applyBorder="1" applyAlignment="1">
      <alignment horizontal="right" vertical="top" wrapText="1"/>
    </xf>
    <xf numFmtId="0" fontId="15" fillId="0" borderId="18" xfId="30" quotePrefix="1" applyFill="1" applyBorder="1" applyAlignment="1">
      <alignment horizontal="left" vertical="top" wrapText="1"/>
    </xf>
    <xf numFmtId="0" fontId="15" fillId="0" borderId="6" xfId="30" quotePrefix="1" applyFill="1" applyBorder="1" applyAlignment="1">
      <alignment horizontal="left" vertical="top" wrapText="1"/>
    </xf>
    <xf numFmtId="0" fontId="15" fillId="0" borderId="19" xfId="30" quotePrefix="1" applyFill="1" applyBorder="1" applyAlignment="1">
      <alignment horizontal="left" vertical="top" wrapText="1"/>
    </xf>
    <xf numFmtId="166" fontId="16" fillId="0" borderId="8" xfId="38" applyNumberFormat="1" applyFont="1" applyFill="1" applyBorder="1" applyAlignment="1">
      <alignment horizontal="right" vertical="top" wrapText="1"/>
    </xf>
    <xf numFmtId="166" fontId="16" fillId="0" borderId="21" xfId="38" applyNumberFormat="1" applyFont="1" applyFill="1" applyBorder="1" applyAlignment="1">
      <alignment horizontal="right" vertical="top" wrapText="1"/>
    </xf>
    <xf numFmtId="166" fontId="16" fillId="0" borderId="39" xfId="38" applyNumberFormat="1" applyFont="1" applyFill="1" applyBorder="1" applyAlignment="1">
      <alignment horizontal="right" vertical="top" wrapText="1"/>
    </xf>
    <xf numFmtId="0" fontId="38" fillId="0" borderId="1" xfId="0" applyFont="1" applyBorder="1" applyAlignment="1">
      <alignment vertical="center" wrapText="1"/>
    </xf>
    <xf numFmtId="166" fontId="18" fillId="0" borderId="45" xfId="38" applyNumberFormat="1" applyFont="1" applyBorder="1" applyAlignment="1">
      <alignment horizontal="right" vertical="top" wrapText="1"/>
    </xf>
    <xf numFmtId="166" fontId="18" fillId="0" borderId="11" xfId="38" applyNumberFormat="1" applyFont="1" applyBorder="1" applyAlignment="1">
      <alignment horizontal="right" vertical="top" wrapText="1"/>
    </xf>
    <xf numFmtId="166" fontId="18" fillId="0" borderId="14" xfId="38" applyNumberFormat="1" applyFont="1" applyBorder="1" applyAlignment="1">
      <alignment horizontal="right" vertical="top" wrapText="1"/>
    </xf>
    <xf numFmtId="2" fontId="16" fillId="0" borderId="11" xfId="30" applyNumberFormat="1" applyFont="1" applyBorder="1" applyAlignment="1">
      <alignment horizontal="right" vertical="top" wrapText="1"/>
    </xf>
    <xf numFmtId="2" fontId="16" fillId="0" borderId="12" xfId="37" quotePrefix="1" applyNumberFormat="1" applyFont="1" applyBorder="1" applyAlignment="1">
      <alignment horizontal="left" vertical="top" wrapText="1"/>
    </xf>
    <xf numFmtId="2" fontId="16" fillId="0" borderId="1" xfId="36" quotePrefix="1" applyNumberFormat="1" applyFont="1" applyBorder="1" applyAlignment="1">
      <alignment horizontal="left" vertical="top" wrapText="1"/>
    </xf>
    <xf numFmtId="2" fontId="16" fillId="0" borderId="12" xfId="37" applyNumberFormat="1" applyFont="1" applyBorder="1" applyAlignment="1">
      <alignment horizontal="left" vertical="top" wrapText="1"/>
    </xf>
    <xf numFmtId="2" fontId="16" fillId="0" borderId="15" xfId="36" quotePrefix="1" applyNumberFormat="1" applyFont="1" applyBorder="1" applyAlignment="1">
      <alignment horizontal="left" vertical="top" wrapText="1"/>
    </xf>
    <xf numFmtId="2" fontId="16" fillId="0" borderId="16" xfId="42" quotePrefix="1" applyNumberFormat="1" applyFont="1" applyBorder="1" applyAlignment="1">
      <alignment horizontal="left" vertical="top" wrapText="1"/>
    </xf>
    <xf numFmtId="2" fontId="16" fillId="0" borderId="12" xfId="42" quotePrefix="1" applyNumberFormat="1" applyFont="1" applyBorder="1" applyAlignment="1">
      <alignment horizontal="left" vertical="top" wrapText="1"/>
    </xf>
    <xf numFmtId="2" fontId="16" fillId="0" borderId="12" xfId="37" quotePrefix="1" applyNumberFormat="1" applyFont="1" applyFill="1" applyBorder="1" applyAlignment="1">
      <alignment horizontal="left" vertical="top" wrapText="1"/>
    </xf>
    <xf numFmtId="2" fontId="16" fillId="0" borderId="16" xfId="37" quotePrefix="1" applyNumberFormat="1" applyFont="1" applyFill="1" applyBorder="1" applyAlignment="1">
      <alignment horizontal="left" vertical="top" wrapText="1"/>
    </xf>
    <xf numFmtId="2" fontId="16" fillId="0" borderId="2" xfId="45" quotePrefix="1" applyNumberFormat="1" applyFont="1" applyBorder="1" applyAlignment="1">
      <alignment horizontal="right" vertical="top" wrapText="1"/>
    </xf>
    <xf numFmtId="2" fontId="16" fillId="0" borderId="27" xfId="37" quotePrefix="1" applyNumberFormat="1" applyFont="1" applyBorder="1" applyAlignment="1">
      <alignment horizontal="left" vertical="top" wrapText="1"/>
    </xf>
    <xf numFmtId="2" fontId="16" fillId="0" borderId="1" xfId="45" quotePrefix="1" applyNumberFormat="1" applyFont="1" applyBorder="1" applyAlignment="1">
      <alignment horizontal="right" vertical="top" wrapText="1"/>
    </xf>
    <xf numFmtId="2" fontId="16" fillId="0" borderId="15" xfId="45" quotePrefix="1" applyNumberFormat="1" applyFont="1" applyBorder="1" applyAlignment="1">
      <alignment horizontal="right" vertical="top" wrapText="1"/>
    </xf>
    <xf numFmtId="2" fontId="16" fillId="0" borderId="16" xfId="37" quotePrefix="1" applyNumberFormat="1" applyFont="1" applyBorder="1" applyAlignment="1">
      <alignment horizontal="left" vertical="top" wrapText="1"/>
    </xf>
    <xf numFmtId="166" fontId="15" fillId="0" borderId="11" xfId="30" quotePrefix="1" applyNumberFormat="1" applyBorder="1" applyAlignment="1">
      <alignment horizontal="left" vertical="top" wrapText="1"/>
    </xf>
    <xf numFmtId="166" fontId="15" fillId="0" borderId="1" xfId="30" quotePrefix="1" applyNumberFormat="1" applyBorder="1" applyAlignment="1">
      <alignment horizontal="left" vertical="top" wrapText="1"/>
    </xf>
    <xf numFmtId="166" fontId="16" fillId="0" borderId="1" xfId="30" quotePrefix="1" applyNumberFormat="1" applyFont="1" applyBorder="1" applyAlignment="1">
      <alignment horizontal="right" vertical="top" wrapText="1"/>
    </xf>
    <xf numFmtId="166" fontId="16" fillId="0" borderId="12" xfId="30" quotePrefix="1" applyNumberFormat="1" applyFont="1" applyBorder="1" applyAlignment="1">
      <alignment horizontal="right" vertical="top" wrapText="1"/>
    </xf>
    <xf numFmtId="166" fontId="16" fillId="0" borderId="8" xfId="30" quotePrefix="1" applyNumberFormat="1" applyFont="1" applyBorder="1" applyAlignment="1">
      <alignment horizontal="left" vertical="top" wrapText="1"/>
    </xf>
    <xf numFmtId="166" fontId="16" fillId="0" borderId="1" xfId="30" quotePrefix="1" applyNumberFormat="1" applyFont="1" applyBorder="1" applyAlignment="1">
      <alignment horizontal="left" vertical="top" wrapText="1"/>
    </xf>
    <xf numFmtId="166" fontId="16" fillId="0" borderId="9" xfId="30" quotePrefix="1" applyNumberFormat="1" applyFont="1" applyBorder="1" applyAlignment="1">
      <alignment horizontal="right" vertical="top" wrapText="1"/>
    </xf>
    <xf numFmtId="166" fontId="16" fillId="0" borderId="11" xfId="30" quotePrefix="1" applyNumberFormat="1" applyFont="1" applyBorder="1" applyAlignment="1">
      <alignment horizontal="right" vertical="top" wrapText="1"/>
    </xf>
    <xf numFmtId="166" fontId="15" fillId="0" borderId="12" xfId="30" quotePrefix="1" applyNumberFormat="1" applyBorder="1" applyAlignment="1">
      <alignment horizontal="left" vertical="top" wrapText="1"/>
    </xf>
    <xf numFmtId="166" fontId="16" fillId="0" borderId="9" xfId="30" quotePrefix="1" applyNumberFormat="1" applyFont="1" applyBorder="1" applyAlignment="1">
      <alignment horizontal="left" vertical="top" wrapText="1"/>
    </xf>
    <xf numFmtId="166" fontId="16" fillId="0" borderId="11" xfId="30" quotePrefix="1" applyNumberFormat="1" applyFont="1" applyFill="1" applyBorder="1" applyAlignment="1">
      <alignment horizontal="left" vertical="top" wrapText="1"/>
    </xf>
    <xf numFmtId="166" fontId="16" fillId="0" borderId="1" xfId="30" quotePrefix="1" applyNumberFormat="1" applyFont="1" applyFill="1" applyBorder="1" applyAlignment="1">
      <alignment horizontal="left" vertical="top" wrapText="1"/>
    </xf>
    <xf numFmtId="166" fontId="16" fillId="0" borderId="12" xfId="30" quotePrefix="1" applyNumberFormat="1" applyFont="1" applyFill="1" applyBorder="1" applyAlignment="1">
      <alignment horizontal="left" vertical="top" wrapText="1"/>
    </xf>
    <xf numFmtId="166" fontId="24" fillId="0" borderId="0" xfId="49" applyNumberFormat="1" applyFont="1" applyAlignment="1">
      <alignment horizontal="left" vertical="top" wrapText="1"/>
    </xf>
    <xf numFmtId="166" fontId="24" fillId="0" borderId="6" xfId="49" applyNumberFormat="1" applyFont="1" applyBorder="1" applyAlignment="1">
      <alignment horizontal="left" vertical="top" wrapText="1"/>
    </xf>
    <xf numFmtId="1" fontId="16" fillId="0" borderId="11" xfId="35" applyNumberFormat="1" applyFont="1" applyBorder="1" applyAlignment="1">
      <alignment horizontal="right" vertical="top" wrapText="1"/>
    </xf>
    <xf numFmtId="1" fontId="16" fillId="0" borderId="14" xfId="35" applyNumberFormat="1" applyFont="1" applyBorder="1" applyAlignment="1">
      <alignment horizontal="right" vertical="top" wrapText="1"/>
    </xf>
    <xf numFmtId="1" fontId="16" fillId="0" borderId="45" xfId="35" applyNumberFormat="1" applyFont="1" applyBorder="1" applyAlignment="1">
      <alignment horizontal="right" vertical="top" wrapText="1"/>
    </xf>
    <xf numFmtId="166" fontId="15" fillId="0" borderId="18" xfId="30" quotePrefix="1" applyNumberFormat="1" applyBorder="1" applyAlignment="1">
      <alignment horizontal="left" vertical="top" wrapText="1"/>
    </xf>
    <xf numFmtId="0" fontId="11" fillId="4" borderId="0" xfId="6" applyFill="1" applyAlignment="1">
      <alignment wrapText="1"/>
    </xf>
    <xf numFmtId="168" fontId="20" fillId="4" borderId="1" xfId="0" applyNumberFormat="1" applyFont="1" applyFill="1" applyBorder="1"/>
    <xf numFmtId="0" fontId="17" fillId="4" borderId="0" xfId="47" quotePrefix="1" applyFill="1" applyBorder="1" applyAlignment="1">
      <alignment vertical="top" wrapText="1"/>
    </xf>
    <xf numFmtId="0" fontId="17" fillId="4" borderId="0" xfId="47" applyFill="1" applyBorder="1" applyAlignment="1">
      <alignment vertical="top" wrapText="1"/>
    </xf>
    <xf numFmtId="0" fontId="19" fillId="4" borderId="0" xfId="60" applyFont="1" applyFill="1" applyAlignment="1">
      <alignment horizontal="left" vertical="center"/>
    </xf>
    <xf numFmtId="0" fontId="37" fillId="4" borderId="0" xfId="63" applyFont="1" applyFill="1" applyAlignment="1" applyProtection="1">
      <alignment horizontal="left" vertical="center"/>
      <protection locked="0"/>
    </xf>
    <xf numFmtId="49" fontId="39" fillId="0" borderId="51" xfId="0" applyNumberFormat="1" applyFont="1" applyBorder="1" applyAlignment="1">
      <alignment horizontal="center" vertical="center" wrapText="1"/>
    </xf>
    <xf numFmtId="0" fontId="40" fillId="0" borderId="52" xfId="0" applyFont="1" applyBorder="1" applyAlignment="1">
      <alignment wrapText="1"/>
    </xf>
    <xf numFmtId="49" fontId="39" fillId="0" borderId="1" xfId="0" applyNumberFormat="1" applyFont="1" applyBorder="1" applyAlignment="1">
      <alignment horizontal="center" vertical="center" wrapText="1"/>
    </xf>
    <xf numFmtId="168" fontId="11" fillId="0" borderId="0" xfId="6" applyNumberFormat="1" applyAlignment="1">
      <alignment wrapText="1"/>
    </xf>
    <xf numFmtId="49" fontId="20" fillId="0" borderId="9" xfId="0" applyNumberFormat="1" applyFont="1" applyBorder="1" applyAlignment="1" applyProtection="1">
      <alignment horizontal="left" vertical="center" wrapText="1"/>
      <protection locked="0"/>
    </xf>
    <xf numFmtId="0" fontId="20" fillId="4" borderId="9" xfId="0" applyFont="1" applyFill="1" applyBorder="1"/>
    <xf numFmtId="0" fontId="20" fillId="4" borderId="9" xfId="0" applyFont="1" applyFill="1" applyBorder="1" applyAlignment="1">
      <alignment wrapText="1"/>
    </xf>
    <xf numFmtId="0" fontId="20" fillId="4" borderId="17" xfId="0" applyFont="1" applyFill="1" applyBorder="1" applyAlignment="1">
      <alignment wrapText="1"/>
    </xf>
    <xf numFmtId="0" fontId="15" fillId="0" borderId="3" xfId="30" quotePrefix="1" applyBorder="1" applyAlignment="1">
      <alignment horizontal="left" vertical="top" wrapText="1"/>
    </xf>
    <xf numFmtId="0" fontId="15" fillId="0" borderId="4" xfId="30" quotePrefix="1" applyBorder="1" applyAlignment="1">
      <alignment horizontal="left" vertical="top" wrapText="1"/>
    </xf>
    <xf numFmtId="0" fontId="15" fillId="0" borderId="28" xfId="30" quotePrefix="1" applyBorder="1" applyAlignment="1">
      <alignment horizontal="left" vertical="top" wrapText="1"/>
    </xf>
    <xf numFmtId="168" fontId="20" fillId="4" borderId="11" xfId="0" applyNumberFormat="1" applyFont="1" applyFill="1" applyBorder="1"/>
    <xf numFmtId="168" fontId="11" fillId="4" borderId="0" xfId="6" applyNumberFormat="1" applyFill="1" applyAlignment="1">
      <alignment wrapText="1"/>
    </xf>
    <xf numFmtId="0" fontId="12" fillId="0" borderId="0" xfId="7" quotePrefix="1" applyBorder="1" applyAlignment="1">
      <alignment horizontal="center" vertical="center" wrapText="1"/>
    </xf>
    <xf numFmtId="0" fontId="12" fillId="0" borderId="0" xfId="10" quotePrefix="1" applyBorder="1" applyAlignment="1">
      <alignment horizontal="center" vertical="center" wrapText="1"/>
    </xf>
    <xf numFmtId="0" fontId="16" fillId="4" borderId="0" xfId="46" quotePrefix="1" applyFill="1" applyAlignment="1">
      <alignment horizontal="center" vertical="center" wrapText="1"/>
    </xf>
    <xf numFmtId="0" fontId="16" fillId="0" borderId="0" xfId="46" quotePrefix="1" applyAlignment="1">
      <alignment horizontal="center" vertical="center" wrapText="1"/>
    </xf>
    <xf numFmtId="0" fontId="20" fillId="0" borderId="9" xfId="0" applyFont="1" applyFill="1" applyBorder="1" applyAlignment="1">
      <alignment vertical="center"/>
    </xf>
    <xf numFmtId="1" fontId="16" fillId="0" borderId="11" xfId="31" applyNumberFormat="1" applyFont="1" applyFill="1" applyBorder="1" applyAlignment="1">
      <alignment horizontal="right" vertical="top" wrapText="1"/>
    </xf>
    <xf numFmtId="166" fontId="16" fillId="0" borderId="8" xfId="30" quotePrefix="1" applyNumberFormat="1" applyFont="1" applyFill="1" applyBorder="1" applyAlignment="1">
      <alignment horizontal="right" vertical="top" wrapText="1"/>
    </xf>
    <xf numFmtId="166" fontId="16" fillId="0" borderId="1" xfId="30" quotePrefix="1" applyNumberFormat="1" applyFont="1" applyFill="1" applyBorder="1" applyAlignment="1">
      <alignment horizontal="right" vertical="top" wrapText="1"/>
    </xf>
    <xf numFmtId="166" fontId="16" fillId="0" borderId="9" xfId="30" quotePrefix="1" applyNumberFormat="1" applyFont="1" applyFill="1" applyBorder="1" applyAlignment="1">
      <alignment horizontal="right" vertical="top" wrapText="1"/>
    </xf>
    <xf numFmtId="49" fontId="39" fillId="0" borderId="1" xfId="0" applyNumberFormat="1" applyFont="1" applyBorder="1" applyAlignment="1">
      <alignment horizontal="center" vertical="top" wrapText="1"/>
    </xf>
    <xf numFmtId="49" fontId="39" fillId="0" borderId="52" xfId="0" applyNumberFormat="1" applyFont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center" vertical="top" wrapText="1"/>
    </xf>
    <xf numFmtId="0" fontId="40" fillId="0" borderId="46" xfId="0" applyFont="1" applyFill="1" applyBorder="1" applyAlignment="1">
      <alignment vertical="top" wrapText="1"/>
    </xf>
    <xf numFmtId="0" fontId="16" fillId="0" borderId="53" xfId="25" applyNumberFormat="1" applyFont="1" applyBorder="1" applyAlignment="1">
      <alignment horizontal="center" vertical="center" wrapText="1"/>
    </xf>
    <xf numFmtId="0" fontId="16" fillId="0" borderId="25" xfId="26" applyNumberFormat="1" applyFont="1" applyBorder="1" applyAlignment="1">
      <alignment horizontal="center" vertical="center" wrapText="1"/>
    </xf>
    <xf numFmtId="0" fontId="16" fillId="0" borderId="54" xfId="27" applyNumberFormat="1" applyFont="1" applyBorder="1" applyAlignment="1">
      <alignment horizontal="center" vertical="center" wrapText="1"/>
    </xf>
    <xf numFmtId="166" fontId="15" fillId="0" borderId="40" xfId="30" quotePrefix="1" applyNumberFormat="1" applyBorder="1" applyAlignment="1">
      <alignment horizontal="left" vertical="top" wrapText="1"/>
    </xf>
    <xf numFmtId="166" fontId="15" fillId="0" borderId="55" xfId="30" quotePrefix="1" applyNumberFormat="1" applyBorder="1" applyAlignment="1">
      <alignment horizontal="left" vertical="top" wrapText="1"/>
    </xf>
    <xf numFmtId="166" fontId="15" fillId="0" borderId="56" xfId="30" quotePrefix="1" applyNumberFormat="1" applyBorder="1" applyAlignment="1">
      <alignment horizontal="left" vertical="top" wrapText="1"/>
    </xf>
    <xf numFmtId="1" fontId="16" fillId="0" borderId="45" xfId="31" applyNumberFormat="1" applyFont="1" applyBorder="1" applyAlignment="1">
      <alignment horizontal="right" vertical="top" wrapText="1"/>
    </xf>
    <xf numFmtId="49" fontId="39" fillId="0" borderId="2" xfId="0" applyNumberFormat="1" applyFont="1" applyBorder="1" applyAlignment="1">
      <alignment horizontal="center" vertical="top" wrapText="1"/>
    </xf>
    <xf numFmtId="0" fontId="40" fillId="0" borderId="57" xfId="0" applyFont="1" applyFill="1" applyBorder="1" applyAlignment="1">
      <alignment vertical="top" wrapText="1"/>
    </xf>
    <xf numFmtId="166" fontId="16" fillId="0" borderId="7" xfId="34" applyNumberFormat="1" applyFont="1" applyFill="1" applyBorder="1" applyAlignment="1">
      <alignment horizontal="right" vertical="top" wrapText="1"/>
    </xf>
    <xf numFmtId="166" fontId="16" fillId="0" borderId="25" xfId="34" applyNumberFormat="1" applyFont="1" applyFill="1" applyBorder="1" applyAlignment="1">
      <alignment horizontal="right" vertical="top" wrapText="1"/>
    </xf>
    <xf numFmtId="166" fontId="16" fillId="0" borderId="44" xfId="34" applyNumberFormat="1" applyFont="1" applyFill="1" applyBorder="1" applyAlignment="1">
      <alignment horizontal="right" vertical="top" wrapText="1"/>
    </xf>
    <xf numFmtId="166" fontId="16" fillId="0" borderId="58" xfId="34" applyNumberFormat="1" applyFont="1" applyFill="1" applyBorder="1" applyAlignment="1">
      <alignment horizontal="right" vertical="top" wrapText="1"/>
    </xf>
    <xf numFmtId="166" fontId="16" fillId="0" borderId="47" xfId="34" applyNumberFormat="1" applyFont="1" applyFill="1" applyBorder="1" applyAlignment="1">
      <alignment horizontal="right" vertical="top" wrapText="1"/>
    </xf>
    <xf numFmtId="169" fontId="30" fillId="0" borderId="11" xfId="30" quotePrefix="1" applyNumberFormat="1" applyFont="1" applyBorder="1" applyAlignment="1">
      <alignment horizontal="left" vertical="top" wrapText="1"/>
    </xf>
    <xf numFmtId="169" fontId="30" fillId="0" borderId="1" xfId="30" quotePrefix="1" applyNumberFormat="1" applyFont="1" applyBorder="1" applyAlignment="1">
      <alignment horizontal="left" vertical="top" wrapText="1"/>
    </xf>
    <xf numFmtId="169" fontId="30" fillId="0" borderId="12" xfId="30" quotePrefix="1" applyNumberFormat="1" applyFont="1" applyBorder="1" applyAlignment="1">
      <alignment horizontal="left" vertical="top" wrapText="1"/>
    </xf>
    <xf numFmtId="0" fontId="11" fillId="4" borderId="0" xfId="6" applyFill="1" applyAlignment="1">
      <alignment vertical="top" wrapText="1"/>
    </xf>
    <xf numFmtId="0" fontId="11" fillId="4" borderId="0" xfId="6" applyFill="1" applyAlignment="1">
      <alignment horizontal="center" vertical="top" wrapText="1"/>
    </xf>
    <xf numFmtId="0" fontId="40" fillId="0" borderId="22" xfId="0" applyFont="1" applyFill="1" applyBorder="1" applyAlignment="1">
      <alignment vertical="top" wrapText="1"/>
    </xf>
    <xf numFmtId="168" fontId="25" fillId="4" borderId="11" xfId="34" applyNumberFormat="1" applyFont="1" applyFill="1" applyBorder="1" applyAlignment="1">
      <alignment horizontal="right" vertical="top" wrapText="1"/>
    </xf>
    <xf numFmtId="168" fontId="25" fillId="4" borderId="1" xfId="34" applyNumberFormat="1" applyFont="1" applyFill="1" applyBorder="1" applyAlignment="1">
      <alignment horizontal="right" vertical="top" wrapText="1"/>
    </xf>
    <xf numFmtId="168" fontId="25" fillId="4" borderId="12" xfId="34" applyNumberFormat="1" applyFont="1" applyFill="1" applyBorder="1" applyAlignment="1">
      <alignment horizontal="right" vertical="top" wrapText="1"/>
    </xf>
    <xf numFmtId="168" fontId="42" fillId="4" borderId="11" xfId="34" applyNumberFormat="1" applyFont="1" applyFill="1" applyBorder="1" applyAlignment="1">
      <alignment horizontal="right" vertical="top" wrapText="1"/>
    </xf>
    <xf numFmtId="168" fontId="42" fillId="4" borderId="1" xfId="34" applyNumberFormat="1" applyFont="1" applyFill="1" applyBorder="1" applyAlignment="1">
      <alignment horizontal="right" vertical="top" wrapText="1"/>
    </xf>
    <xf numFmtId="168" fontId="25" fillId="4" borderId="11" xfId="38" applyNumberFormat="1" applyFont="1" applyFill="1" applyBorder="1" applyAlignment="1">
      <alignment horizontal="right" vertical="top" wrapText="1"/>
    </xf>
    <xf numFmtId="168" fontId="25" fillId="4" borderId="1" xfId="38" applyNumberFormat="1" applyFont="1" applyFill="1" applyBorder="1" applyAlignment="1">
      <alignment horizontal="right" vertical="top" wrapText="1"/>
    </xf>
    <xf numFmtId="168" fontId="43" fillId="4" borderId="11" xfId="30" quotePrefix="1" applyNumberFormat="1" applyFont="1" applyFill="1" applyBorder="1" applyAlignment="1">
      <alignment horizontal="left" vertical="top" wrapText="1"/>
    </xf>
    <xf numFmtId="168" fontId="43" fillId="4" borderId="1" xfId="30" quotePrefix="1" applyNumberFormat="1" applyFont="1" applyFill="1" applyBorder="1" applyAlignment="1">
      <alignment horizontal="left" vertical="top" wrapText="1"/>
    </xf>
    <xf numFmtId="168" fontId="42" fillId="4" borderId="11" xfId="38" applyNumberFormat="1" applyFont="1" applyFill="1" applyBorder="1" applyAlignment="1">
      <alignment horizontal="right" vertical="top" wrapText="1"/>
    </xf>
    <xf numFmtId="168" fontId="42" fillId="4" borderId="1" xfId="38" applyNumberFormat="1" applyFont="1" applyFill="1" applyBorder="1" applyAlignment="1">
      <alignment horizontal="right" vertical="top" wrapText="1"/>
    </xf>
    <xf numFmtId="168" fontId="25" fillId="4" borderId="12" xfId="38" applyNumberFormat="1" applyFont="1" applyFill="1" applyBorder="1" applyAlignment="1">
      <alignment horizontal="right" vertical="top" wrapText="1"/>
    </xf>
    <xf numFmtId="168" fontId="42" fillId="4" borderId="12" xfId="38" applyNumberFormat="1" applyFont="1" applyFill="1" applyBorder="1" applyAlignment="1">
      <alignment horizontal="right" vertical="top" wrapText="1"/>
    </xf>
    <xf numFmtId="168" fontId="44" fillId="4" borderId="11" xfId="6" applyNumberFormat="1" applyFont="1" applyFill="1" applyBorder="1" applyAlignment="1">
      <alignment wrapText="1"/>
    </xf>
    <xf numFmtId="168" fontId="44" fillId="4" borderId="1" xfId="6" applyNumberFormat="1" applyFont="1" applyFill="1" applyBorder="1" applyAlignment="1">
      <alignment wrapText="1"/>
    </xf>
    <xf numFmtId="168" fontId="45" fillId="4" borderId="12" xfId="38" applyNumberFormat="1" applyFont="1" applyFill="1" applyBorder="1" applyAlignment="1">
      <alignment horizontal="right" vertical="top" wrapText="1"/>
    </xf>
    <xf numFmtId="168" fontId="45" fillId="4" borderId="43" xfId="38" applyNumberFormat="1" applyFont="1" applyFill="1" applyBorder="1" applyAlignment="1">
      <alignment horizontal="right" vertical="top" wrapText="1"/>
    </xf>
    <xf numFmtId="168" fontId="45" fillId="4" borderId="1" xfId="38" applyNumberFormat="1" applyFont="1" applyFill="1" applyBorder="1" applyAlignment="1">
      <alignment horizontal="right" vertical="top" wrapText="1"/>
    </xf>
    <xf numFmtId="168" fontId="43" fillId="4" borderId="11" xfId="38" applyNumberFormat="1" applyFont="1" applyFill="1" applyBorder="1" applyAlignment="1">
      <alignment horizontal="right" vertical="top" wrapText="1"/>
    </xf>
    <xf numFmtId="168" fontId="43" fillId="4" borderId="1" xfId="38" applyNumberFormat="1" applyFont="1" applyFill="1" applyBorder="1" applyAlignment="1">
      <alignment horizontal="right" vertical="top" wrapText="1"/>
    </xf>
    <xf numFmtId="168" fontId="43" fillId="4" borderId="12" xfId="38" applyNumberFormat="1" applyFont="1" applyFill="1" applyBorder="1" applyAlignment="1">
      <alignment horizontal="right" vertical="top" wrapText="1"/>
    </xf>
    <xf numFmtId="168" fontId="25" fillId="4" borderId="11" xfId="38" applyNumberFormat="1" applyFont="1" applyFill="1" applyBorder="1" applyAlignment="1">
      <alignment horizontal="right" vertical="center" wrapText="1"/>
    </xf>
    <xf numFmtId="168" fontId="25" fillId="4" borderId="1" xfId="38" applyNumberFormat="1" applyFont="1" applyFill="1" applyBorder="1" applyAlignment="1">
      <alignment horizontal="right" vertical="center" wrapText="1"/>
    </xf>
    <xf numFmtId="168" fontId="42" fillId="4" borderId="14" xfId="38" applyNumberFormat="1" applyFont="1" applyFill="1" applyBorder="1" applyAlignment="1">
      <alignment horizontal="right" vertical="top" wrapText="1"/>
    </xf>
    <xf numFmtId="168" fontId="42" fillId="4" borderId="15" xfId="38" applyNumberFormat="1" applyFont="1" applyFill="1" applyBorder="1" applyAlignment="1">
      <alignment horizontal="right" vertical="top" wrapText="1"/>
    </xf>
    <xf numFmtId="168" fontId="42" fillId="4" borderId="16" xfId="38" applyNumberFormat="1" applyFont="1" applyFill="1" applyBorder="1" applyAlignment="1">
      <alignment horizontal="right" vertical="top" wrapText="1"/>
    </xf>
    <xf numFmtId="0" fontId="45" fillId="0" borderId="11" xfId="31" applyNumberFormat="1" applyFont="1" applyBorder="1" applyAlignment="1">
      <alignment horizontal="center" vertical="center" wrapText="1"/>
    </xf>
    <xf numFmtId="0" fontId="45" fillId="4" borderId="11" xfId="31" applyNumberFormat="1" applyFont="1" applyFill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 wrapText="1"/>
    </xf>
    <xf numFmtId="0" fontId="46" fillId="0" borderId="9" xfId="0" applyFont="1" applyBorder="1" applyAlignment="1">
      <alignment wrapText="1"/>
    </xf>
    <xf numFmtId="2" fontId="47" fillId="0" borderId="1" xfId="32" applyNumberFormat="1" applyFont="1" applyFill="1" applyBorder="1" applyAlignment="1">
      <alignment horizontal="left" vertical="top" wrapText="1"/>
    </xf>
    <xf numFmtId="2" fontId="47" fillId="0" borderId="9" xfId="33" applyNumberFormat="1" applyFont="1" applyFill="1" applyBorder="1" applyAlignment="1">
      <alignment horizontal="left" vertical="top" wrapText="1"/>
    </xf>
    <xf numFmtId="49" fontId="20" fillId="0" borderId="1" xfId="0" applyNumberFormat="1" applyFont="1" applyBorder="1" applyAlignment="1" applyProtection="1">
      <alignment horizontal="center" vertical="center" wrapText="1"/>
      <protection locked="0"/>
    </xf>
    <xf numFmtId="0" fontId="43" fillId="0" borderId="11" xfId="30" applyFont="1" applyBorder="1" applyAlignment="1">
      <alignment horizontal="center" vertical="center" wrapText="1"/>
    </xf>
    <xf numFmtId="0" fontId="45" fillId="0" borderId="9" xfId="37" quotePrefix="1" applyFont="1" applyBorder="1" applyAlignment="1">
      <alignment horizontal="left" vertical="top" wrapText="1"/>
    </xf>
    <xf numFmtId="0" fontId="45" fillId="0" borderId="11" xfId="35" applyNumberFormat="1" applyFont="1" applyBorder="1" applyAlignment="1">
      <alignment horizontal="center" vertical="center" wrapText="1"/>
    </xf>
    <xf numFmtId="0" fontId="45" fillId="0" borderId="1" xfId="36" quotePrefix="1" applyFont="1" applyBorder="1" applyAlignment="1">
      <alignment horizontal="center" vertical="center" wrapText="1"/>
    </xf>
    <xf numFmtId="0" fontId="45" fillId="0" borderId="9" xfId="42" quotePrefix="1" applyFont="1" applyBorder="1" applyAlignment="1">
      <alignment horizontal="left" vertical="top" wrapText="1"/>
    </xf>
    <xf numFmtId="0" fontId="46" fillId="0" borderId="1" xfId="0" applyFont="1" applyBorder="1" applyAlignment="1">
      <alignment wrapText="1"/>
    </xf>
    <xf numFmtId="49" fontId="20" fillId="4" borderId="1" xfId="0" applyNumberFormat="1" applyFont="1" applyFill="1" applyBorder="1" applyAlignment="1" applyProtection="1">
      <alignment horizontal="center" vertical="center" wrapText="1"/>
      <protection locked="0"/>
    </xf>
    <xf numFmtId="2" fontId="47" fillId="4" borderId="9" xfId="37" quotePrefix="1" applyNumberFormat="1" applyFont="1" applyFill="1" applyBorder="1" applyAlignment="1">
      <alignment horizontal="left" vertical="top" wrapText="1"/>
    </xf>
    <xf numFmtId="0" fontId="45" fillId="4" borderId="11" xfId="35" applyNumberFormat="1" applyFont="1" applyFill="1" applyBorder="1" applyAlignment="1">
      <alignment horizontal="center" vertical="center" wrapText="1"/>
    </xf>
    <xf numFmtId="1" fontId="47" fillId="4" borderId="11" xfId="35" applyNumberFormat="1" applyFont="1" applyFill="1" applyBorder="1" applyAlignment="1">
      <alignment horizontal="center" vertical="center" wrapText="1"/>
    </xf>
    <xf numFmtId="2" fontId="47" fillId="4" borderId="1" xfId="39" applyNumberFormat="1" applyFont="1" applyFill="1" applyBorder="1" applyAlignment="1">
      <alignment vertical="center" wrapText="1"/>
    </xf>
    <xf numFmtId="49" fontId="42" fillId="0" borderId="52" xfId="0" applyNumberFormat="1" applyFont="1" applyBorder="1" applyAlignment="1">
      <alignment horizontal="center" vertical="center" wrapText="1"/>
    </xf>
    <xf numFmtId="2" fontId="47" fillId="4" borderId="9" xfId="37" applyNumberFormat="1" applyFont="1" applyFill="1" applyBorder="1" applyAlignment="1">
      <alignment horizontal="left" vertical="top" wrapText="1"/>
    </xf>
    <xf numFmtId="0" fontId="47" fillId="4" borderId="11" xfId="35" applyNumberFormat="1" applyFont="1" applyFill="1" applyBorder="1" applyAlignment="1">
      <alignment horizontal="center" vertical="center" wrapText="1"/>
    </xf>
    <xf numFmtId="0" fontId="47" fillId="4" borderId="1" xfId="36" quotePrefix="1" applyFont="1" applyFill="1" applyBorder="1" applyAlignment="1">
      <alignment horizontal="center" vertical="center" wrapText="1"/>
    </xf>
    <xf numFmtId="0" fontId="47" fillId="4" borderId="1" xfId="45" quotePrefix="1" applyFont="1" applyFill="1" applyBorder="1" applyAlignment="1">
      <alignment horizontal="center" vertical="center" wrapText="1"/>
    </xf>
    <xf numFmtId="0" fontId="47" fillId="4" borderId="14" xfId="35" applyNumberFormat="1" applyFont="1" applyFill="1" applyBorder="1" applyAlignment="1">
      <alignment horizontal="center" vertical="center" wrapText="1"/>
    </xf>
    <xf numFmtId="0" fontId="47" fillId="4" borderId="15" xfId="45" quotePrefix="1" applyFont="1" applyFill="1" applyBorder="1" applyAlignment="1">
      <alignment horizontal="center" vertical="center" wrapText="1"/>
    </xf>
    <xf numFmtId="166" fontId="18" fillId="3" borderId="1" xfId="49" quotePrefix="1" applyNumberFormat="1" applyFont="1" applyFill="1" applyBorder="1" applyAlignment="1">
      <alignment horizontal="left" vertical="center" wrapText="1"/>
    </xf>
    <xf numFmtId="168" fontId="42" fillId="0" borderId="12" xfId="34" applyNumberFormat="1" applyFont="1" applyFill="1" applyBorder="1" applyAlignment="1">
      <alignment horizontal="right" vertical="top" wrapText="1"/>
    </xf>
    <xf numFmtId="168" fontId="25" fillId="0" borderId="12" xfId="34" applyNumberFormat="1" applyFont="1" applyFill="1" applyBorder="1" applyAlignment="1">
      <alignment horizontal="right" vertical="top" wrapText="1"/>
    </xf>
    <xf numFmtId="168" fontId="43" fillId="0" borderId="12" xfId="30" quotePrefix="1" applyNumberFormat="1" applyFont="1" applyFill="1" applyBorder="1" applyAlignment="1">
      <alignment horizontal="left" vertical="top" wrapText="1"/>
    </xf>
    <xf numFmtId="166" fontId="16" fillId="0" borderId="11" xfId="30" quotePrefix="1" applyNumberFormat="1" applyFont="1" applyFill="1" applyBorder="1" applyAlignment="1">
      <alignment horizontal="right" vertical="top" wrapText="1"/>
    </xf>
    <xf numFmtId="166" fontId="16" fillId="0" borderId="16" xfId="34" applyNumberFormat="1" applyFont="1" applyFill="1" applyBorder="1" applyAlignment="1">
      <alignment horizontal="right" vertical="top" wrapText="1"/>
    </xf>
    <xf numFmtId="166" fontId="16" fillId="0" borderId="17" xfId="34" applyNumberFormat="1" applyFont="1" applyFill="1" applyBorder="1" applyAlignment="1">
      <alignment horizontal="right" vertical="top" wrapText="1"/>
    </xf>
    <xf numFmtId="166" fontId="15" fillId="0" borderId="6" xfId="30" quotePrefix="1" applyNumberFormat="1" applyFill="1" applyBorder="1" applyAlignment="1">
      <alignment horizontal="left" vertical="top" wrapText="1"/>
    </xf>
    <xf numFmtId="166" fontId="15" fillId="0" borderId="0" xfId="30" quotePrefix="1" applyNumberFormat="1" applyFill="1" applyBorder="1" applyAlignment="1">
      <alignment horizontal="left" vertical="top" wrapText="1"/>
    </xf>
    <xf numFmtId="166" fontId="15" fillId="0" borderId="18" xfId="30" quotePrefix="1" applyNumberFormat="1" applyFill="1" applyBorder="1" applyAlignment="1">
      <alignment horizontal="left" vertical="top" wrapText="1"/>
    </xf>
    <xf numFmtId="166" fontId="16" fillId="0" borderId="22" xfId="38" applyNumberFormat="1" applyFont="1" applyFill="1" applyBorder="1" applyAlignment="1">
      <alignment horizontal="right" vertical="top" wrapText="1"/>
    </xf>
    <xf numFmtId="166" fontId="15" fillId="0" borderId="40" xfId="30" quotePrefix="1" applyNumberFormat="1" applyFill="1" applyBorder="1" applyAlignment="1">
      <alignment horizontal="left" vertical="top" wrapText="1"/>
    </xf>
    <xf numFmtId="166" fontId="15" fillId="0" borderId="50" xfId="30" quotePrefix="1" applyNumberFormat="1" applyFill="1" applyBorder="1" applyAlignment="1">
      <alignment horizontal="left" vertical="top" wrapText="1"/>
    </xf>
    <xf numFmtId="166" fontId="15" fillId="0" borderId="55" xfId="30" quotePrefix="1" applyNumberFormat="1" applyFill="1" applyBorder="1" applyAlignment="1">
      <alignment horizontal="left" vertical="top" wrapText="1"/>
    </xf>
    <xf numFmtId="166" fontId="15" fillId="0" borderId="29" xfId="30" quotePrefix="1" applyNumberFormat="1" applyFill="1" applyBorder="1" applyAlignment="1">
      <alignment horizontal="left" vertical="top" wrapText="1"/>
    </xf>
    <xf numFmtId="166" fontId="15" fillId="0" borderId="56" xfId="30" quotePrefix="1" applyNumberFormat="1" applyFill="1" applyBorder="1" applyAlignment="1">
      <alignment horizontal="left" vertical="top" wrapText="1"/>
    </xf>
    <xf numFmtId="166" fontId="15" fillId="0" borderId="19" xfId="30" quotePrefix="1" applyNumberFormat="1" applyFill="1" applyBorder="1" applyAlignment="1">
      <alignment horizontal="left" vertical="top" wrapText="1"/>
    </xf>
    <xf numFmtId="166" fontId="15" fillId="0" borderId="34" xfId="30" quotePrefix="1" applyNumberFormat="1" applyFill="1" applyBorder="1" applyAlignment="1">
      <alignment horizontal="left" vertical="top" wrapText="1"/>
    </xf>
    <xf numFmtId="166" fontId="15" fillId="0" borderId="10" xfId="30" quotePrefix="1" applyNumberFormat="1" applyFill="1" applyBorder="1" applyAlignment="1">
      <alignment horizontal="left" vertical="top" wrapText="1"/>
    </xf>
    <xf numFmtId="166" fontId="16" fillId="0" borderId="20" xfId="38" applyNumberFormat="1" applyFont="1" applyFill="1" applyBorder="1" applyAlignment="1">
      <alignment horizontal="right" vertical="top" wrapText="1"/>
    </xf>
    <xf numFmtId="166" fontId="16" fillId="0" borderId="4" xfId="38" applyNumberFormat="1" applyFont="1" applyFill="1" applyBorder="1" applyAlignment="1">
      <alignment horizontal="right" vertical="top" wrapText="1"/>
    </xf>
    <xf numFmtId="166" fontId="16" fillId="0" borderId="28" xfId="38" applyNumberFormat="1" applyFont="1" applyFill="1" applyBorder="1" applyAlignment="1">
      <alignment horizontal="right" vertical="top" wrapText="1"/>
    </xf>
    <xf numFmtId="0" fontId="11" fillId="4" borderId="0" xfId="6" applyFill="1" applyBorder="1" applyAlignment="1">
      <alignment wrapText="1"/>
    </xf>
    <xf numFmtId="0" fontId="24" fillId="0" borderId="0" xfId="0" applyFont="1" applyFill="1" applyBorder="1" applyAlignment="1">
      <alignment horizontal="right" vertical="top" wrapText="1"/>
    </xf>
    <xf numFmtId="166" fontId="18" fillId="0" borderId="43" xfId="30" quotePrefix="1" applyNumberFormat="1" applyFont="1" applyBorder="1" applyAlignment="1">
      <alignment horizontal="right" vertical="top" wrapText="1"/>
    </xf>
    <xf numFmtId="166" fontId="18" fillId="0" borderId="1" xfId="30" quotePrefix="1" applyNumberFormat="1" applyFont="1" applyBorder="1" applyAlignment="1">
      <alignment horizontal="right" vertical="top" wrapText="1"/>
    </xf>
    <xf numFmtId="166" fontId="18" fillId="0" borderId="8" xfId="30" quotePrefix="1" applyNumberFormat="1" applyFont="1" applyBorder="1" applyAlignment="1">
      <alignment horizontal="right" vertical="top" wrapText="1"/>
    </xf>
    <xf numFmtId="166" fontId="27" fillId="0" borderId="1" xfId="34" applyNumberFormat="1" applyFont="1" applyFill="1" applyBorder="1" applyAlignment="1">
      <alignment horizontal="right" vertical="top" wrapText="1"/>
    </xf>
    <xf numFmtId="166" fontId="24" fillId="0" borderId="8" xfId="30" quotePrefix="1" applyNumberFormat="1" applyFont="1" applyBorder="1" applyAlignment="1">
      <alignment horizontal="right" vertical="top" wrapText="1"/>
    </xf>
    <xf numFmtId="169" fontId="48" fillId="0" borderId="8" xfId="34" applyNumberFormat="1" applyFont="1" applyFill="1" applyBorder="1" applyAlignment="1">
      <alignment horizontal="right" vertical="top" wrapText="1"/>
    </xf>
    <xf numFmtId="169" fontId="48" fillId="0" borderId="1" xfId="34" applyNumberFormat="1" applyFont="1" applyFill="1" applyBorder="1" applyAlignment="1">
      <alignment horizontal="right" vertical="top" wrapText="1"/>
    </xf>
    <xf numFmtId="168" fontId="48" fillId="0" borderId="1" xfId="34" applyNumberFormat="1" applyFont="1" applyFill="1" applyBorder="1" applyAlignment="1">
      <alignment horizontal="right" vertical="top" wrapText="1"/>
    </xf>
    <xf numFmtId="168" fontId="27" fillId="0" borderId="12" xfId="34" applyNumberFormat="1" applyFont="1" applyBorder="1" applyAlignment="1">
      <alignment horizontal="right" vertical="top" wrapText="1"/>
    </xf>
    <xf numFmtId="0" fontId="19" fillId="0" borderId="0" xfId="60" applyFont="1" applyAlignment="1">
      <alignment horizontal="right"/>
    </xf>
    <xf numFmtId="2" fontId="0" fillId="0" borderId="1" xfId="0" applyNumberFormat="1" applyBorder="1" applyAlignment="1">
      <alignment horizontal="left" vertical="top" wrapText="1"/>
    </xf>
    <xf numFmtId="0" fontId="20" fillId="0" borderId="0" xfId="60" applyFont="1" applyAlignment="1">
      <alignment horizontal="right"/>
    </xf>
    <xf numFmtId="0" fontId="21" fillId="0" borderId="0" xfId="56" applyFont="1" applyAlignment="1">
      <alignment horizontal="left" vertical="center" wrapText="1"/>
    </xf>
    <xf numFmtId="0" fontId="20" fillId="0" borderId="1" xfId="0" applyFont="1" applyBorder="1" applyAlignment="1">
      <alignment horizontal="left" vertical="top" wrapText="1"/>
    </xf>
    <xf numFmtId="1" fontId="18" fillId="0" borderId="45" xfId="30" applyNumberFormat="1" applyFont="1" applyBorder="1" applyAlignment="1">
      <alignment horizontal="right" vertical="top" wrapText="1"/>
    </xf>
    <xf numFmtId="0" fontId="49" fillId="0" borderId="0" xfId="0" quotePrefix="1" applyFont="1"/>
    <xf numFmtId="166" fontId="49" fillId="0" borderId="0" xfId="0" applyNumberFormat="1" applyFont="1"/>
    <xf numFmtId="0" fontId="49" fillId="0" borderId="0" xfId="0" applyFont="1"/>
    <xf numFmtId="167" fontId="49" fillId="0" borderId="0" xfId="0" applyNumberFormat="1" applyFont="1"/>
    <xf numFmtId="166" fontId="15" fillId="0" borderId="40" xfId="30" quotePrefix="1" applyNumberFormat="1" applyFont="1" applyFill="1" applyBorder="1" applyAlignment="1">
      <alignment horizontal="left" vertical="top" wrapText="1"/>
    </xf>
    <xf numFmtId="1" fontId="16" fillId="0" borderId="34" xfId="35" applyNumberFormat="1" applyFont="1" applyBorder="1" applyAlignment="1">
      <alignment horizontal="right" vertical="top" wrapText="1"/>
    </xf>
    <xf numFmtId="2" fontId="16" fillId="0" borderId="0" xfId="36" quotePrefix="1" applyNumberFormat="1" applyFont="1" applyBorder="1" applyAlignment="1">
      <alignment horizontal="left" vertical="top" wrapText="1"/>
    </xf>
    <xf numFmtId="2" fontId="16" fillId="0" borderId="10" xfId="37" quotePrefix="1" applyNumberFormat="1" applyFont="1" applyBorder="1" applyAlignment="1">
      <alignment horizontal="left" vertical="top" wrapText="1"/>
    </xf>
    <xf numFmtId="166" fontId="16" fillId="0" borderId="0" xfId="38" applyNumberFormat="1" applyFont="1" applyFill="1" applyBorder="1" applyAlignment="1">
      <alignment horizontal="right" vertical="top" wrapText="1"/>
    </xf>
    <xf numFmtId="166" fontId="16" fillId="0" borderId="38" xfId="38" applyNumberFormat="1" applyFont="1" applyFill="1" applyBorder="1" applyAlignment="1">
      <alignment horizontal="right" vertical="top" wrapText="1"/>
    </xf>
    <xf numFmtId="166" fontId="16" fillId="0" borderId="38" xfId="34" applyNumberFormat="1" applyFont="1" applyFill="1" applyBorder="1" applyAlignment="1">
      <alignment horizontal="right" vertical="top" wrapText="1"/>
    </xf>
    <xf numFmtId="166" fontId="16" fillId="0" borderId="35" xfId="34" applyNumberFormat="1" applyFont="1" applyFill="1" applyBorder="1" applyAlignment="1">
      <alignment horizontal="right" vertical="top" wrapText="1"/>
    </xf>
    <xf numFmtId="16" fontId="50" fillId="4" borderId="1" xfId="0" applyNumberFormat="1" applyFont="1" applyFill="1" applyBorder="1" applyAlignment="1">
      <alignment horizontal="center" wrapText="1"/>
    </xf>
    <xf numFmtId="0" fontId="50" fillId="4" borderId="1" xfId="0" applyFont="1" applyFill="1" applyBorder="1" applyAlignment="1">
      <alignment horizontal="left" vertical="top" wrapText="1"/>
    </xf>
    <xf numFmtId="49" fontId="50" fillId="0" borderId="1" xfId="0" applyNumberFormat="1" applyFont="1" applyBorder="1" applyAlignment="1">
      <alignment horizontal="left" vertical="top"/>
    </xf>
    <xf numFmtId="0" fontId="50" fillId="0" borderId="1" xfId="0" applyFont="1" applyBorder="1" applyAlignment="1">
      <alignment horizontal="left" vertical="top" wrapText="1"/>
    </xf>
    <xf numFmtId="166" fontId="16" fillId="4" borderId="9" xfId="38" applyNumberFormat="1" applyFont="1" applyFill="1" applyBorder="1" applyAlignment="1">
      <alignment horizontal="right" vertical="top" wrapText="1"/>
    </xf>
    <xf numFmtId="166" fontId="16" fillId="4" borderId="3" xfId="38" applyNumberFormat="1" applyFont="1" applyFill="1" applyBorder="1" applyAlignment="1">
      <alignment horizontal="right" vertical="top" wrapText="1"/>
    </xf>
    <xf numFmtId="166" fontId="16" fillId="4" borderId="28" xfId="38" applyNumberFormat="1" applyFont="1" applyFill="1" applyBorder="1" applyAlignment="1">
      <alignment horizontal="right" vertical="top" wrapText="1"/>
    </xf>
    <xf numFmtId="49" fontId="39" fillId="0" borderId="0" xfId="0" applyNumberFormat="1" applyFont="1" applyBorder="1" applyAlignment="1">
      <alignment horizontal="center" vertical="top" wrapText="1"/>
    </xf>
    <xf numFmtId="0" fontId="1" fillId="0" borderId="0" xfId="60" applyFont="1" applyBorder="1" applyAlignment="1">
      <alignment horizontal="center" vertical="center" wrapText="1"/>
    </xf>
    <xf numFmtId="166" fontId="1" fillId="0" borderId="0" xfId="60" applyNumberFormat="1" applyFont="1" applyBorder="1" applyAlignment="1">
      <alignment horizontal="center" vertical="center" wrapText="1"/>
    </xf>
    <xf numFmtId="49" fontId="41" fillId="0" borderId="0" xfId="6" applyNumberFormat="1" applyFont="1" applyAlignment="1">
      <alignment horizontal="left" vertical="top"/>
    </xf>
    <xf numFmtId="0" fontId="27" fillId="0" borderId="0" xfId="6" applyFont="1"/>
    <xf numFmtId="0" fontId="37" fillId="0" borderId="0" xfId="6" applyFont="1" applyAlignment="1">
      <alignment horizontal="left" vertical="top"/>
    </xf>
    <xf numFmtId="49" fontId="37" fillId="0" borderId="0" xfId="6" applyNumberFormat="1" applyFont="1" applyAlignment="1">
      <alignment horizontal="left" vertical="top"/>
    </xf>
    <xf numFmtId="0" fontId="37" fillId="0" borderId="0" xfId="6" applyFont="1" applyAlignment="1">
      <alignment horizontal="right" vertical="top"/>
    </xf>
    <xf numFmtId="0" fontId="50" fillId="0" borderId="0" xfId="6" applyFont="1"/>
    <xf numFmtId="0" fontId="50" fillId="0" borderId="0" xfId="6" applyFont="1" applyAlignment="1">
      <alignment horizontal="right" vertical="top"/>
    </xf>
    <xf numFmtId="170" fontId="41" fillId="0" borderId="0" xfId="6" applyNumberFormat="1" applyFont="1" applyAlignment="1">
      <alignment horizontal="center"/>
    </xf>
    <xf numFmtId="0" fontId="51" fillId="0" borderId="0" xfId="6" applyFont="1" applyAlignment="1"/>
    <xf numFmtId="0" fontId="52" fillId="0" borderId="0" xfId="6" quotePrefix="1" applyFont="1" applyFill="1" applyBorder="1" applyAlignment="1">
      <alignment vertical="top" wrapText="1"/>
    </xf>
    <xf numFmtId="0" fontId="41" fillId="0" borderId="0" xfId="6" applyFont="1"/>
    <xf numFmtId="0" fontId="50" fillId="0" borderId="0" xfId="6" applyFont="1" applyFill="1" applyAlignment="1"/>
    <xf numFmtId="0" fontId="50" fillId="0" borderId="0" xfId="6" applyFont="1" applyFill="1" applyAlignment="1">
      <alignment wrapText="1"/>
    </xf>
    <xf numFmtId="0" fontId="50" fillId="0" borderId="0" xfId="6" applyFont="1" applyFill="1" applyAlignment="1">
      <alignment horizontal="left" wrapText="1"/>
    </xf>
    <xf numFmtId="4" fontId="55" fillId="0" borderId="0" xfId="65" quotePrefix="1" applyNumberFormat="1" applyFont="1" applyFill="1" applyBorder="1" applyAlignment="1">
      <alignment horizontal="left" vertical="top" wrapText="1"/>
    </xf>
    <xf numFmtId="0" fontId="37" fillId="0" borderId="0" xfId="6" applyFont="1" applyFill="1" applyAlignment="1">
      <alignment wrapText="1"/>
    </xf>
    <xf numFmtId="0" fontId="50" fillId="0" borderId="0" xfId="6" applyFont="1" applyAlignment="1">
      <alignment horizontal="center" vertical="top"/>
    </xf>
    <xf numFmtId="49" fontId="50" fillId="4" borderId="0" xfId="6" applyNumberFormat="1" applyFont="1" applyFill="1" applyAlignment="1">
      <alignment horizontal="left" vertical="top"/>
    </xf>
    <xf numFmtId="0" fontId="50" fillId="4" borderId="0" xfId="6" applyFont="1" applyFill="1" applyAlignment="1">
      <alignment horizontal="left" vertical="top"/>
    </xf>
    <xf numFmtId="0" fontId="50" fillId="4" borderId="0" xfId="6" applyFont="1" applyFill="1" applyAlignment="1">
      <alignment horizontal="right" vertical="center"/>
    </xf>
    <xf numFmtId="0" fontId="50" fillId="4" borderId="0" xfId="6" applyFont="1" applyFill="1" applyAlignment="1">
      <alignment horizontal="right" vertical="top"/>
    </xf>
    <xf numFmtId="0" fontId="50" fillId="4" borderId="0" xfId="6" applyFont="1" applyFill="1" applyAlignment="1">
      <alignment horizontal="center" vertical="center"/>
    </xf>
    <xf numFmtId="49" fontId="50" fillId="0" borderId="0" xfId="6" applyNumberFormat="1" applyFont="1" applyAlignment="1">
      <alignment horizontal="left" vertical="top"/>
    </xf>
    <xf numFmtId="0" fontId="50" fillId="0" borderId="0" xfId="6" applyFont="1" applyAlignment="1">
      <alignment horizontal="left" vertical="top"/>
    </xf>
    <xf numFmtId="0" fontId="50" fillId="0" borderId="0" xfId="6" applyFont="1" applyAlignment="1">
      <alignment horizontal="right" vertical="center"/>
    </xf>
    <xf numFmtId="0" fontId="50" fillId="0" borderId="0" xfId="6" applyFont="1" applyAlignment="1">
      <alignment horizontal="center" vertical="center"/>
    </xf>
    <xf numFmtId="0" fontId="50" fillId="0" borderId="5" xfId="6" applyFont="1" applyBorder="1" applyAlignment="1">
      <alignment horizontal="center" vertical="center"/>
    </xf>
    <xf numFmtId="49" fontId="50" fillId="0" borderId="5" xfId="6" applyNumberFormat="1" applyFont="1" applyBorder="1" applyAlignment="1">
      <alignment horizontal="center" vertical="center"/>
    </xf>
    <xf numFmtId="0" fontId="50" fillId="0" borderId="1" xfId="6" applyFont="1" applyFill="1" applyBorder="1" applyAlignment="1">
      <alignment horizontal="center" vertical="top" wrapText="1"/>
    </xf>
    <xf numFmtId="49" fontId="50" fillId="0" borderId="1" xfId="6" applyNumberFormat="1" applyFont="1" applyFill="1" applyBorder="1" applyAlignment="1">
      <alignment horizontal="left" vertical="top" wrapText="1"/>
    </xf>
    <xf numFmtId="0" fontId="50" fillId="0" borderId="1" xfId="6" applyFont="1" applyFill="1" applyBorder="1" applyAlignment="1">
      <alignment horizontal="left" vertical="top" wrapText="1"/>
    </xf>
    <xf numFmtId="167" fontId="50" fillId="0" borderId="1" xfId="6" applyNumberFormat="1" applyFont="1" applyFill="1" applyBorder="1" applyAlignment="1">
      <alignment horizontal="right" vertical="top"/>
    </xf>
    <xf numFmtId="167" fontId="50" fillId="4" borderId="1" xfId="6" applyNumberFormat="1" applyFont="1" applyFill="1" applyBorder="1" applyAlignment="1">
      <alignment horizontal="right" vertical="top" wrapText="1"/>
    </xf>
    <xf numFmtId="167" fontId="50" fillId="0" borderId="1" xfId="6" applyNumberFormat="1" applyFont="1" applyFill="1" applyBorder="1" applyAlignment="1">
      <alignment horizontal="right" vertical="top" wrapText="1"/>
    </xf>
    <xf numFmtId="0" fontId="50" fillId="0" borderId="0" xfId="6" applyFont="1" applyFill="1"/>
    <xf numFmtId="0" fontId="50" fillId="5" borderId="1" xfId="6" applyFont="1" applyFill="1" applyBorder="1" applyAlignment="1">
      <alignment horizontal="center" vertical="top"/>
    </xf>
    <xf numFmtId="49" fontId="50" fillId="5" borderId="1" xfId="6" applyNumberFormat="1" applyFont="1" applyFill="1" applyBorder="1" applyAlignment="1">
      <alignment horizontal="left" vertical="top"/>
    </xf>
    <xf numFmtId="0" fontId="50" fillId="5" borderId="1" xfId="6" applyFont="1" applyFill="1" applyBorder="1" applyAlignment="1">
      <alignment horizontal="left" vertical="top" wrapText="1"/>
    </xf>
    <xf numFmtId="167" fontId="50" fillId="5" borderId="1" xfId="6" applyNumberFormat="1" applyFont="1" applyFill="1" applyBorder="1" applyAlignment="1">
      <alignment horizontal="right" vertical="top" wrapText="1"/>
    </xf>
    <xf numFmtId="167" fontId="50" fillId="5" borderId="1" xfId="6" applyNumberFormat="1" applyFont="1" applyFill="1" applyBorder="1" applyAlignment="1">
      <alignment horizontal="right" vertical="top"/>
    </xf>
    <xf numFmtId="167" fontId="50" fillId="0" borderId="0" xfId="6" applyNumberFormat="1" applyFont="1"/>
    <xf numFmtId="0" fontId="50" fillId="0" borderId="1" xfId="6" applyFont="1" applyBorder="1" applyAlignment="1">
      <alignment horizontal="center" vertical="top" wrapText="1"/>
    </xf>
    <xf numFmtId="49" fontId="50" fillId="0" borderId="1" xfId="6" applyNumberFormat="1" applyFont="1" applyBorder="1" applyAlignment="1">
      <alignment horizontal="left" vertical="top" wrapText="1"/>
    </xf>
    <xf numFmtId="0" fontId="50" fillId="4" borderId="1" xfId="6" applyFont="1" applyFill="1" applyBorder="1" applyAlignment="1">
      <alignment horizontal="left" vertical="top" wrapText="1"/>
    </xf>
    <xf numFmtId="167" fontId="50" fillId="0" borderId="1" xfId="6" applyNumberFormat="1" applyFont="1" applyBorder="1" applyAlignment="1">
      <alignment horizontal="right" vertical="top" wrapText="1"/>
    </xf>
    <xf numFmtId="167" fontId="50" fillId="0" borderId="1" xfId="6" applyNumberFormat="1" applyFont="1" applyBorder="1" applyAlignment="1">
      <alignment horizontal="right" vertical="top"/>
    </xf>
    <xf numFmtId="0" fontId="50" fillId="0" borderId="1" xfId="6" applyFont="1" applyBorder="1" applyAlignment="1">
      <alignment horizontal="center" vertical="top"/>
    </xf>
    <xf numFmtId="49" fontId="50" fillId="0" borderId="1" xfId="6" applyNumberFormat="1" applyFont="1" applyBorder="1" applyAlignment="1">
      <alignment horizontal="left" vertical="top"/>
    </xf>
    <xf numFmtId="2" fontId="50" fillId="0" borderId="0" xfId="6" applyNumberFormat="1" applyFont="1"/>
    <xf numFmtId="0" fontId="50" fillId="4" borderId="1" xfId="6" applyFont="1" applyFill="1" applyBorder="1" applyAlignment="1">
      <alignment horizontal="center" wrapText="1"/>
    </xf>
    <xf numFmtId="0" fontId="50" fillId="4" borderId="1" xfId="6" applyFont="1" applyFill="1" applyBorder="1" applyAlignment="1">
      <alignment horizontal="left" vertical="center" wrapText="1"/>
    </xf>
    <xf numFmtId="16" fontId="50" fillId="4" borderId="1" xfId="6" applyNumberFormat="1" applyFont="1" applyFill="1" applyBorder="1" applyAlignment="1">
      <alignment horizontal="center" wrapText="1"/>
    </xf>
    <xf numFmtId="0" fontId="50" fillId="6" borderId="1" xfId="6" applyFont="1" applyFill="1" applyBorder="1" applyAlignment="1">
      <alignment horizontal="center" vertical="top" wrapText="1"/>
    </xf>
    <xf numFmtId="0" fontId="50" fillId="0" borderId="1" xfId="6" applyFont="1" applyFill="1" applyBorder="1" applyAlignment="1">
      <alignment horizontal="left" vertical="center" wrapText="1"/>
    </xf>
    <xf numFmtId="167" fontId="50" fillId="6" borderId="1" xfId="6" applyNumberFormat="1" applyFont="1" applyFill="1" applyBorder="1" applyAlignment="1">
      <alignment horizontal="right" vertical="top"/>
    </xf>
    <xf numFmtId="166" fontId="50" fillId="0" borderId="1" xfId="6" applyNumberFormat="1" applyFont="1" applyFill="1" applyBorder="1" applyAlignment="1">
      <alignment horizontal="right" vertical="top" wrapText="1"/>
    </xf>
    <xf numFmtId="167" fontId="50" fillId="6" borderId="1" xfId="6" applyNumberFormat="1" applyFont="1" applyFill="1" applyBorder="1" applyAlignment="1">
      <alignment horizontal="right" vertical="top" wrapText="1"/>
    </xf>
    <xf numFmtId="2" fontId="50" fillId="0" borderId="54" xfId="6" applyNumberFormat="1" applyFont="1" applyBorder="1" applyAlignment="1">
      <alignment horizontal="right" vertical="top" wrapText="1"/>
    </xf>
    <xf numFmtId="0" fontId="50" fillId="4" borderId="1" xfId="6" applyFont="1" applyFill="1" applyBorder="1" applyAlignment="1">
      <alignment horizontal="center" vertical="top" wrapText="1"/>
    </xf>
    <xf numFmtId="49" fontId="50" fillId="4" borderId="1" xfId="6" applyNumberFormat="1" applyFont="1" applyFill="1" applyBorder="1" applyAlignment="1">
      <alignment horizontal="left" vertical="top" wrapText="1"/>
    </xf>
    <xf numFmtId="167" fontId="50" fillId="4" borderId="1" xfId="6" applyNumberFormat="1" applyFont="1" applyFill="1" applyBorder="1" applyAlignment="1">
      <alignment horizontal="right" vertical="top"/>
    </xf>
    <xf numFmtId="0" fontId="50" fillId="4" borderId="0" xfId="6" applyFont="1" applyFill="1"/>
    <xf numFmtId="0" fontId="50" fillId="4" borderId="0" xfId="6" applyFont="1" applyFill="1" applyAlignment="1">
      <alignment vertical="top"/>
    </xf>
    <xf numFmtId="167" fontId="27" fillId="0" borderId="1" xfId="6" applyNumberFormat="1" applyFont="1" applyBorder="1" applyAlignment="1">
      <alignment horizontal="right" vertical="top" wrapText="1"/>
    </xf>
    <xf numFmtId="167" fontId="27" fillId="0" borderId="1" xfId="6" applyNumberFormat="1" applyFont="1" applyBorder="1" applyAlignment="1">
      <alignment horizontal="right" vertical="top"/>
    </xf>
    <xf numFmtId="0" fontId="50" fillId="0" borderId="0" xfId="6" applyFont="1" applyBorder="1" applyAlignment="1">
      <alignment horizontal="center" vertical="top"/>
    </xf>
    <xf numFmtId="49" fontId="59" fillId="0" borderId="0" xfId="6" applyNumberFormat="1" applyFont="1" applyBorder="1" applyAlignment="1">
      <alignment horizontal="left" vertical="top" wrapText="1"/>
    </xf>
    <xf numFmtId="0" fontId="50" fillId="0" borderId="0" xfId="6" applyFont="1" applyBorder="1" applyAlignment="1">
      <alignment horizontal="left" vertical="top" wrapText="1"/>
    </xf>
    <xf numFmtId="167" fontId="27" fillId="0" borderId="0" xfId="6" applyNumberFormat="1" applyFont="1" applyBorder="1" applyAlignment="1">
      <alignment horizontal="right" vertical="top" wrapText="1"/>
    </xf>
    <xf numFmtId="167" fontId="27" fillId="0" borderId="0" xfId="6" applyNumberFormat="1" applyFont="1" applyBorder="1" applyAlignment="1">
      <alignment horizontal="right" vertical="top"/>
    </xf>
    <xf numFmtId="0" fontId="50" fillId="4" borderId="0" xfId="6" applyFont="1" applyFill="1" applyAlignment="1">
      <alignment horizontal="center" vertical="top"/>
    </xf>
    <xf numFmtId="2" fontId="50" fillId="0" borderId="0" xfId="6" applyNumberFormat="1" applyFont="1" applyAlignment="1">
      <alignment horizontal="right" vertical="top"/>
    </xf>
    <xf numFmtId="0" fontId="46" fillId="0" borderId="57" xfId="0" applyFont="1" applyFill="1" applyBorder="1" applyAlignment="1">
      <alignment vertical="center" wrapText="1"/>
    </xf>
    <xf numFmtId="0" fontId="46" fillId="0" borderId="22" xfId="0" applyFont="1" applyFill="1" applyBorder="1" applyAlignment="1">
      <alignment vertical="center" wrapText="1"/>
    </xf>
    <xf numFmtId="2" fontId="45" fillId="4" borderId="9" xfId="37" quotePrefix="1" applyNumberFormat="1" applyFont="1" applyFill="1" applyBorder="1" applyAlignment="1">
      <alignment horizontal="left" vertical="center" wrapText="1"/>
    </xf>
    <xf numFmtId="2" fontId="45" fillId="0" borderId="12" xfId="37" applyNumberFormat="1" applyFont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top" wrapText="1"/>
    </xf>
    <xf numFmtId="0" fontId="25" fillId="0" borderId="1" xfId="0" applyFont="1" applyBorder="1" applyAlignment="1">
      <alignment horizontal="left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49" fontId="50" fillId="0" borderId="1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0" fontId="27" fillId="0" borderId="1" xfId="6" applyFont="1" applyBorder="1" applyAlignment="1">
      <alignment horizontal="left" vertical="top" wrapText="1"/>
    </xf>
    <xf numFmtId="0" fontId="50" fillId="0" borderId="1" xfId="6" applyFont="1" applyBorder="1" applyAlignment="1">
      <alignment horizontal="left" vertical="top" wrapText="1"/>
    </xf>
    <xf numFmtId="0" fontId="53" fillId="0" borderId="0" xfId="6" applyFont="1" applyFill="1" applyBorder="1" applyAlignment="1">
      <alignment horizontal="center"/>
    </xf>
    <xf numFmtId="0" fontId="41" fillId="0" borderId="0" xfId="6" applyFont="1" applyAlignment="1">
      <alignment horizontal="left" vertical="top"/>
    </xf>
    <xf numFmtId="2" fontId="47" fillId="4" borderId="9" xfId="37" quotePrefix="1" applyNumberFormat="1" applyFont="1" applyFill="1" applyBorder="1" applyAlignment="1">
      <alignment horizontal="left" vertical="center" wrapText="1"/>
    </xf>
    <xf numFmtId="49" fontId="27" fillId="0" borderId="1" xfId="6" applyNumberFormat="1" applyFont="1" applyBorder="1" applyAlignment="1">
      <alignment horizontal="left" vertical="top"/>
    </xf>
    <xf numFmtId="0" fontId="27" fillId="0" borderId="1" xfId="6" applyFont="1" applyBorder="1" applyAlignment="1">
      <alignment horizontal="center" vertical="top"/>
    </xf>
    <xf numFmtId="0" fontId="50" fillId="4" borderId="1" xfId="6" applyFont="1" applyFill="1" applyBorder="1" applyAlignment="1">
      <alignment horizontal="left" wrapText="1"/>
    </xf>
    <xf numFmtId="166" fontId="16" fillId="4" borderId="44" xfId="38" applyNumberFormat="1" applyFont="1" applyFill="1" applyBorder="1" applyAlignment="1">
      <alignment horizontal="right" vertical="top" wrapText="1"/>
    </xf>
    <xf numFmtId="166" fontId="16" fillId="4" borderId="11" xfId="38" applyNumberFormat="1" applyFont="1" applyFill="1" applyBorder="1" applyAlignment="1">
      <alignment horizontal="right" vertical="top" wrapText="1"/>
    </xf>
    <xf numFmtId="166" fontId="16" fillId="4" borderId="17" xfId="38" applyNumberFormat="1" applyFont="1" applyFill="1" applyBorder="1" applyAlignment="1">
      <alignment horizontal="right" vertical="top" wrapText="1"/>
    </xf>
    <xf numFmtId="166" fontId="16" fillId="4" borderId="14" xfId="38" applyNumberFormat="1" applyFont="1" applyFill="1" applyBorder="1" applyAlignment="1">
      <alignment horizontal="right" vertical="top" wrapText="1"/>
    </xf>
    <xf numFmtId="166" fontId="16" fillId="4" borderId="15" xfId="38" applyNumberFormat="1" applyFont="1" applyFill="1" applyBorder="1" applyAlignment="1">
      <alignment horizontal="right" vertical="top" wrapText="1"/>
    </xf>
    <xf numFmtId="166" fontId="16" fillId="4" borderId="16" xfId="34" applyNumberFormat="1" applyFont="1" applyFill="1" applyBorder="1" applyAlignment="1">
      <alignment horizontal="right" vertical="top" wrapText="1"/>
    </xf>
    <xf numFmtId="166" fontId="16" fillId="4" borderId="13" xfId="38" applyNumberFormat="1" applyFont="1" applyFill="1" applyBorder="1" applyAlignment="1">
      <alignment horizontal="right" vertical="top" wrapText="1"/>
    </xf>
    <xf numFmtId="166" fontId="16" fillId="4" borderId="4" xfId="38" applyNumberFormat="1" applyFont="1" applyFill="1" applyBorder="1" applyAlignment="1">
      <alignment horizontal="right" vertical="top" wrapText="1"/>
    </xf>
    <xf numFmtId="166" fontId="16" fillId="4" borderId="21" xfId="38" applyNumberFormat="1" applyFont="1" applyFill="1" applyBorder="1" applyAlignment="1">
      <alignment horizontal="right" vertical="top" wrapText="1"/>
    </xf>
    <xf numFmtId="166" fontId="16" fillId="4" borderId="27" xfId="38" applyNumberFormat="1" applyFont="1" applyFill="1" applyBorder="1" applyAlignment="1">
      <alignment horizontal="right" vertical="top" wrapText="1"/>
    </xf>
    <xf numFmtId="166" fontId="16" fillId="4" borderId="45" xfId="38" applyNumberFormat="1" applyFont="1" applyFill="1" applyBorder="1" applyAlignment="1">
      <alignment horizontal="right" vertical="top" wrapText="1"/>
    </xf>
    <xf numFmtId="166" fontId="16" fillId="4" borderId="2" xfId="38" applyNumberFormat="1" applyFont="1" applyFill="1" applyBorder="1" applyAlignment="1">
      <alignment horizontal="right" vertical="top" wrapText="1"/>
    </xf>
    <xf numFmtId="1" fontId="16" fillId="0" borderId="11" xfId="35" applyNumberFormat="1" applyFont="1" applyFill="1" applyBorder="1" applyAlignment="1">
      <alignment horizontal="right" vertical="top" wrapText="1"/>
    </xf>
    <xf numFmtId="166" fontId="16" fillId="0" borderId="3" xfId="38" applyNumberFormat="1" applyFont="1" applyFill="1" applyBorder="1" applyAlignment="1">
      <alignment horizontal="right" vertical="top" wrapText="1"/>
    </xf>
    <xf numFmtId="0" fontId="0" fillId="0" borderId="0" xfId="0" applyFill="1"/>
    <xf numFmtId="166" fontId="18" fillId="0" borderId="1" xfId="49" quotePrefix="1" applyNumberFormat="1" applyFont="1" applyFill="1" applyBorder="1" applyAlignment="1">
      <alignment horizontal="left" vertical="center" wrapText="1"/>
    </xf>
    <xf numFmtId="171" fontId="18" fillId="0" borderId="59" xfId="67" applyNumberFormat="1" applyFont="1" applyBorder="1" applyAlignment="1">
      <alignment horizontal="right" vertical="top" wrapText="1"/>
    </xf>
    <xf numFmtId="166" fontId="0" fillId="0" borderId="0" xfId="0" applyNumberFormat="1"/>
    <xf numFmtId="168" fontId="45" fillId="0" borderId="1" xfId="30" quotePrefix="1" applyNumberFormat="1" applyFont="1" applyFill="1" applyBorder="1" applyAlignment="1">
      <alignment horizontal="right" vertical="top" wrapText="1"/>
    </xf>
    <xf numFmtId="0" fontId="60" fillId="4" borderId="0" xfId="6" applyFont="1" applyFill="1" applyAlignment="1">
      <alignment horizontal="center" vertical="top" wrapText="1"/>
    </xf>
    <xf numFmtId="0" fontId="50" fillId="4" borderId="0" xfId="6" applyFont="1" applyFill="1" applyAlignment="1">
      <alignment vertical="top" wrapText="1"/>
    </xf>
    <xf numFmtId="0" fontId="27" fillId="0" borderId="1" xfId="6" applyFont="1" applyBorder="1" applyAlignment="1">
      <alignment horizontal="left" vertical="top" wrapText="1"/>
    </xf>
    <xf numFmtId="0" fontId="50" fillId="0" borderId="1" xfId="6" applyFont="1" applyBorder="1" applyAlignment="1">
      <alignment horizontal="left" vertical="top" wrapText="1"/>
    </xf>
    <xf numFmtId="49" fontId="59" fillId="0" borderId="1" xfId="6" applyNumberFormat="1" applyFont="1" applyBorder="1" applyAlignment="1">
      <alignment horizontal="left" vertical="top" wrapText="1"/>
    </xf>
    <xf numFmtId="0" fontId="50" fillId="4" borderId="0" xfId="6" applyFont="1" applyFill="1" applyAlignment="1">
      <alignment horizontal="center" vertical="top" wrapText="1"/>
    </xf>
    <xf numFmtId="0" fontId="50" fillId="0" borderId="1" xfId="6" applyFont="1" applyBorder="1" applyAlignment="1">
      <alignment horizontal="center" vertical="center" wrapText="1"/>
    </xf>
    <xf numFmtId="49" fontId="50" fillId="0" borderId="1" xfId="6" applyNumberFormat="1" applyFont="1" applyBorder="1" applyAlignment="1">
      <alignment horizontal="center" vertical="center" wrapText="1"/>
    </xf>
    <xf numFmtId="0" fontId="50" fillId="0" borderId="1" xfId="6" applyFont="1" applyBorder="1" applyAlignment="1">
      <alignment horizontal="center" vertical="center"/>
    </xf>
    <xf numFmtId="0" fontId="27" fillId="0" borderId="9" xfId="6" applyFont="1" applyBorder="1" applyAlignment="1">
      <alignment horizontal="left" vertical="top" wrapText="1"/>
    </xf>
    <xf numFmtId="0" fontId="33" fillId="0" borderId="22" xfId="6" applyFont="1" applyBorder="1" applyAlignment="1">
      <alignment vertical="top"/>
    </xf>
    <xf numFmtId="0" fontId="33" fillId="0" borderId="8" xfId="6" applyFont="1" applyBorder="1" applyAlignment="1">
      <alignment vertical="top"/>
    </xf>
    <xf numFmtId="0" fontId="27" fillId="0" borderId="22" xfId="6" applyFont="1" applyBorder="1" applyAlignment="1">
      <alignment horizontal="left" vertical="top" wrapText="1"/>
    </xf>
    <xf numFmtId="0" fontId="27" fillId="0" borderId="8" xfId="6" applyFont="1" applyBorder="1" applyAlignment="1">
      <alignment horizontal="left" vertical="top" wrapText="1"/>
    </xf>
    <xf numFmtId="0" fontId="58" fillId="4" borderId="0" xfId="6" applyFont="1" applyFill="1" applyAlignment="1">
      <alignment horizontal="center" vertical="center"/>
    </xf>
    <xf numFmtId="0" fontId="11" fillId="0" borderId="0" xfId="6" applyAlignment="1"/>
    <xf numFmtId="0" fontId="55" fillId="0" borderId="0" xfId="64" quotePrefix="1" applyFont="1" applyFill="1" applyBorder="1" applyAlignment="1">
      <alignment horizontal="left" vertical="top" wrapText="1"/>
    </xf>
    <xf numFmtId="0" fontId="55" fillId="0" borderId="0" xfId="66" quotePrefix="1" applyFont="1" applyFill="1" applyBorder="1" applyAlignment="1">
      <alignment horizontal="left" vertical="top" wrapText="1"/>
    </xf>
    <xf numFmtId="0" fontId="41" fillId="0" borderId="7" xfId="6" applyFont="1" applyBorder="1" applyAlignment="1">
      <alignment horizontal="left" vertical="top"/>
    </xf>
    <xf numFmtId="0" fontId="51" fillId="0" borderId="7" xfId="6" applyFont="1" applyBorder="1" applyAlignment="1">
      <alignment vertical="top"/>
    </xf>
    <xf numFmtId="0" fontId="41" fillId="0" borderId="0" xfId="6" applyFont="1" applyAlignment="1">
      <alignment horizontal="left" vertical="top"/>
    </xf>
    <xf numFmtId="0" fontId="51" fillId="0" borderId="0" xfId="6" applyFont="1" applyAlignment="1">
      <alignment horizontal="left" vertical="top"/>
    </xf>
    <xf numFmtId="0" fontId="52" fillId="0" borderId="0" xfId="6" applyFont="1" applyFill="1" applyBorder="1" applyAlignment="1">
      <alignment horizontal="center"/>
    </xf>
    <xf numFmtId="0" fontId="50" fillId="0" borderId="7" xfId="6" applyFont="1" applyBorder="1" applyAlignment="1">
      <alignment horizontal="center" vertical="top"/>
    </xf>
    <xf numFmtId="0" fontId="11" fillId="0" borderId="7" xfId="6" applyBorder="1" applyAlignment="1"/>
    <xf numFmtId="0" fontId="53" fillId="0" borderId="0" xfId="6" applyFont="1" applyFill="1" applyBorder="1" applyAlignment="1">
      <alignment horizontal="center"/>
    </xf>
    <xf numFmtId="0" fontId="37" fillId="0" borderId="0" xfId="6" applyFont="1" applyAlignment="1">
      <alignment horizontal="right"/>
    </xf>
    <xf numFmtId="0" fontId="53" fillId="0" borderId="0" xfId="6" applyFont="1" applyFill="1" applyBorder="1" applyAlignment="1">
      <alignment horizontal="center" vertical="top"/>
    </xf>
    <xf numFmtId="0" fontId="56" fillId="4" borderId="0" xfId="6" applyFont="1" applyFill="1" applyAlignment="1">
      <alignment horizontal="center" vertical="center"/>
    </xf>
    <xf numFmtId="0" fontId="37" fillId="4" borderId="7" xfId="6" applyFont="1" applyFill="1" applyBorder="1" applyAlignment="1">
      <alignment horizontal="center" vertical="center" wrapText="1"/>
    </xf>
    <xf numFmtId="0" fontId="11" fillId="4" borderId="7" xfId="6" applyFont="1" applyFill="1" applyBorder="1" applyAlignment="1">
      <alignment horizontal="center"/>
    </xf>
    <xf numFmtId="0" fontId="57" fillId="4" borderId="0" xfId="6" applyFont="1" applyFill="1" applyBorder="1" applyAlignment="1">
      <alignment horizontal="center" vertical="center" wrapText="1"/>
    </xf>
    <xf numFmtId="0" fontId="20" fillId="0" borderId="0" xfId="60" applyFont="1" applyAlignment="1">
      <alignment horizontal="right"/>
    </xf>
    <xf numFmtId="0" fontId="21" fillId="0" borderId="0" xfId="56" applyFont="1" applyAlignment="1">
      <alignment horizontal="left" vertical="center" wrapText="1"/>
    </xf>
    <xf numFmtId="0" fontId="19" fillId="0" borderId="0" xfId="60" applyFont="1" applyAlignment="1">
      <alignment horizontal="right"/>
    </xf>
    <xf numFmtId="0" fontId="15" fillId="0" borderId="1" xfId="47" applyFont="1" applyBorder="1" applyAlignment="1">
      <alignment horizontal="left" vertical="center" wrapText="1"/>
    </xf>
    <xf numFmtId="165" fontId="20" fillId="0" borderId="0" xfId="6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9" fillId="0" borderId="0" xfId="60" applyFont="1" applyAlignment="1">
      <alignment horizontal="right" wrapText="1"/>
    </xf>
    <xf numFmtId="0" fontId="0" fillId="0" borderId="0" xfId="0" applyAlignment="1">
      <alignment horizontal="right" wrapText="1"/>
    </xf>
    <xf numFmtId="0" fontId="15" fillId="0" borderId="1" xfId="3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2" fontId="15" fillId="0" borderId="11" xfId="30" applyNumberFormat="1" applyBorder="1" applyAlignment="1">
      <alignment horizontal="left" vertical="top" wrapText="1"/>
    </xf>
    <xf numFmtId="2" fontId="0" fillId="0" borderId="1" xfId="0" applyNumberFormat="1" applyBorder="1" applyAlignment="1">
      <alignment horizontal="left" vertical="top" wrapText="1"/>
    </xf>
    <xf numFmtId="2" fontId="0" fillId="0" borderId="12" xfId="0" applyNumberFormat="1" applyBorder="1" applyAlignment="1">
      <alignment horizontal="left" vertical="top" wrapText="1"/>
    </xf>
    <xf numFmtId="2" fontId="15" fillId="0" borderId="55" xfId="30" applyNumberFormat="1" applyBorder="1" applyAlignment="1">
      <alignment horizontal="left" vertical="top" wrapText="1"/>
    </xf>
    <xf numFmtId="2" fontId="0" fillId="0" borderId="40" xfId="0" applyNumberFormat="1" applyBorder="1" applyAlignment="1">
      <alignment horizontal="left" vertical="top" wrapText="1"/>
    </xf>
    <xf numFmtId="2" fontId="0" fillId="0" borderId="56" xfId="0" applyNumberFormat="1" applyBorder="1" applyAlignment="1">
      <alignment horizontal="left" vertical="top" wrapText="1"/>
    </xf>
    <xf numFmtId="2" fontId="15" fillId="0" borderId="55" xfId="30" quotePrefix="1" applyNumberFormat="1" applyBorder="1" applyAlignment="1">
      <alignment horizontal="left" vertical="top" wrapText="1"/>
    </xf>
    <xf numFmtId="2" fontId="15" fillId="0" borderId="23" xfId="30" quotePrefix="1" applyNumberFormat="1" applyBorder="1" applyAlignment="1">
      <alignment horizontal="left" vertical="top" wrapText="1"/>
    </xf>
    <xf numFmtId="2" fontId="0" fillId="0" borderId="24" xfId="0" applyNumberFormat="1" applyBorder="1" applyAlignment="1">
      <alignment horizontal="left" vertical="top" wrapText="1"/>
    </xf>
    <xf numFmtId="2" fontId="0" fillId="0" borderId="26" xfId="0" applyNumberFormat="1" applyBorder="1" applyAlignment="1">
      <alignment horizontal="left" vertical="top" wrapText="1"/>
    </xf>
    <xf numFmtId="0" fontId="17" fillId="0" borderId="0" xfId="47" quotePrefix="1" applyAlignment="1">
      <alignment horizontal="left" vertical="top" wrapText="1"/>
    </xf>
    <xf numFmtId="0" fontId="17" fillId="0" borderId="0" xfId="47" applyAlignment="1">
      <alignment horizontal="left" vertical="top" wrapText="1"/>
    </xf>
    <xf numFmtId="166" fontId="17" fillId="0" borderId="0" xfId="48" quotePrefix="1" applyNumberFormat="1" applyAlignment="1">
      <alignment horizontal="left" vertical="top" wrapText="1"/>
    </xf>
    <xf numFmtId="166" fontId="17" fillId="0" borderId="0" xfId="48" applyNumberFormat="1" applyAlignment="1">
      <alignment horizontal="left" vertical="top" wrapText="1"/>
    </xf>
    <xf numFmtId="166" fontId="17" fillId="0" borderId="0" xfId="49" quotePrefix="1" applyNumberFormat="1" applyAlignment="1">
      <alignment horizontal="left" vertical="top" wrapText="1"/>
    </xf>
    <xf numFmtId="166" fontId="17" fillId="0" borderId="0" xfId="49" applyNumberFormat="1" applyAlignment="1">
      <alignment horizontal="left" vertical="top" wrapText="1"/>
    </xf>
    <xf numFmtId="165" fontId="20" fillId="0" borderId="0" xfId="6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3" fillId="2" borderId="1" xfId="6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1" fillId="0" borderId="0" xfId="16" applyFont="1" applyBorder="1" applyAlignment="1">
      <alignment horizontal="center" vertical="center" wrapText="1"/>
    </xf>
    <xf numFmtId="0" fontId="20" fillId="0" borderId="0" xfId="60" applyFont="1" applyAlignment="1">
      <alignment horizontal="right" wrapText="1"/>
    </xf>
    <xf numFmtId="0" fontId="12" fillId="0" borderId="0" xfId="7" quotePrefix="1" applyBorder="1" applyAlignment="1">
      <alignment horizontal="left" vertical="top" wrapText="1"/>
    </xf>
    <xf numFmtId="166" fontId="12" fillId="0" borderId="0" xfId="18" quotePrefix="1" applyNumberFormat="1" applyBorder="1" applyAlignment="1">
      <alignment horizontal="left" vertical="top" wrapText="1"/>
    </xf>
    <xf numFmtId="0" fontId="12" fillId="0" borderId="0" xfId="18" applyBorder="1" applyAlignment="1">
      <alignment horizontal="left" vertical="top" wrapText="1"/>
    </xf>
    <xf numFmtId="0" fontId="9" fillId="0" borderId="3" xfId="19" quotePrefix="1" applyBorder="1" applyAlignment="1">
      <alignment horizontal="center" vertical="center" wrapText="1"/>
    </xf>
    <xf numFmtId="0" fontId="9" fillId="0" borderId="14" xfId="19" applyBorder="1" applyAlignment="1">
      <alignment horizontal="center" vertical="center" wrapText="1"/>
    </xf>
    <xf numFmtId="0" fontId="9" fillId="0" borderId="4" xfId="20" quotePrefix="1" applyBorder="1" applyAlignment="1">
      <alignment horizontal="center" vertical="center" wrapText="1"/>
    </xf>
    <xf numFmtId="0" fontId="9" fillId="0" borderId="15" xfId="20" applyBorder="1" applyAlignment="1">
      <alignment horizontal="center" vertical="center" wrapText="1"/>
    </xf>
    <xf numFmtId="0" fontId="9" fillId="0" borderId="13" xfId="21" quotePrefix="1" applyBorder="1" applyAlignment="1">
      <alignment horizontal="center" vertical="center" wrapText="1"/>
    </xf>
    <xf numFmtId="0" fontId="9" fillId="0" borderId="17" xfId="21" applyBorder="1" applyAlignment="1">
      <alignment horizontal="center" vertical="center" wrapText="1"/>
    </xf>
    <xf numFmtId="0" fontId="30" fillId="2" borderId="36" xfId="0" applyFont="1" applyFill="1" applyBorder="1" applyAlignment="1">
      <alignment horizontal="center" vertical="center" wrapText="1"/>
    </xf>
    <xf numFmtId="0" fontId="30" fillId="2" borderId="37" xfId="0" applyFont="1" applyFill="1" applyBorder="1" applyAlignment="1">
      <alignment horizontal="center" vertical="center" wrapText="1"/>
    </xf>
    <xf numFmtId="0" fontId="30" fillId="2" borderId="29" xfId="0" applyFont="1" applyFill="1" applyBorder="1" applyAlignment="1">
      <alignment horizontal="center" vertical="center" wrapText="1"/>
    </xf>
    <xf numFmtId="0" fontId="27" fillId="2" borderId="36" xfId="0" applyFont="1" applyFill="1" applyBorder="1" applyAlignment="1">
      <alignment horizontal="center" vertical="center" wrapText="1"/>
    </xf>
    <xf numFmtId="0" fontId="27" fillId="2" borderId="37" xfId="0" applyFont="1" applyFill="1" applyBorder="1" applyAlignment="1">
      <alignment horizontal="center" vertical="center" wrapText="1"/>
    </xf>
    <xf numFmtId="0" fontId="27" fillId="2" borderId="29" xfId="0" applyFont="1" applyFill="1" applyBorder="1" applyAlignment="1">
      <alignment horizontal="center" vertical="center" wrapText="1"/>
    </xf>
    <xf numFmtId="0" fontId="43" fillId="4" borderId="11" xfId="30" quotePrefix="1" applyFont="1" applyFill="1" applyBorder="1" applyAlignment="1">
      <alignment horizontal="left" vertical="top" wrapText="1"/>
    </xf>
    <xf numFmtId="0" fontId="20" fillId="4" borderId="1" xfId="0" applyFont="1" applyFill="1" applyBorder="1" applyAlignment="1">
      <alignment horizontal="left" vertical="top" wrapText="1"/>
    </xf>
    <xf numFmtId="0" fontId="20" fillId="4" borderId="9" xfId="0" applyFont="1" applyFill="1" applyBorder="1" applyAlignment="1">
      <alignment horizontal="left" vertical="top" wrapText="1"/>
    </xf>
    <xf numFmtId="0" fontId="17" fillId="4" borderId="0" xfId="48" quotePrefix="1" applyFill="1" applyAlignment="1">
      <alignment horizontal="left" vertical="top" wrapText="1"/>
    </xf>
    <xf numFmtId="0" fontId="17" fillId="4" borderId="0" xfId="48" applyFill="1" applyAlignment="1">
      <alignment horizontal="left" vertical="top" wrapText="1"/>
    </xf>
    <xf numFmtId="0" fontId="17" fillId="4" borderId="0" xfId="49" quotePrefix="1" applyFill="1" applyAlignment="1">
      <alignment horizontal="left" vertical="top" wrapText="1"/>
    </xf>
    <xf numFmtId="0" fontId="17" fillId="4" borderId="0" xfId="49" applyFill="1" applyAlignment="1">
      <alignment horizontal="left" vertical="top" wrapText="1"/>
    </xf>
    <xf numFmtId="0" fontId="43" fillId="0" borderId="11" xfId="3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43" fillId="0" borderId="11" xfId="30" quotePrefix="1" applyFont="1" applyBorder="1" applyAlignment="1">
      <alignment horizontal="left" vertical="top" wrapText="1"/>
    </xf>
    <xf numFmtId="0" fontId="41" fillId="0" borderId="0" xfId="10" applyFont="1" applyBorder="1" applyAlignment="1">
      <alignment horizontal="center" vertical="top" wrapText="1"/>
    </xf>
    <xf numFmtId="0" fontId="34" fillId="0" borderId="38" xfId="18" applyFont="1" applyBorder="1" applyAlignment="1">
      <alignment horizontal="left" vertical="top" wrapText="1"/>
    </xf>
    <xf numFmtId="0" fontId="9" fillId="0" borderId="4" xfId="20" applyBorder="1" applyAlignment="1">
      <alignment horizontal="center" vertical="center" wrapText="1"/>
    </xf>
    <xf numFmtId="0" fontId="9" fillId="0" borderId="28" xfId="21" applyBorder="1" applyAlignment="1">
      <alignment horizontal="center" vertical="center" wrapText="1"/>
    </xf>
    <xf numFmtId="0" fontId="9" fillId="0" borderId="16" xfId="21" applyBorder="1" applyAlignment="1">
      <alignment horizontal="center" vertical="center" wrapText="1"/>
    </xf>
    <xf numFmtId="0" fontId="30" fillId="4" borderId="40" xfId="0" applyFont="1" applyFill="1" applyBorder="1" applyAlignment="1">
      <alignment horizontal="center" vertical="center" wrapText="1"/>
    </xf>
    <xf numFmtId="0" fontId="35" fillId="0" borderId="41" xfId="23" quotePrefix="1" applyFont="1" applyBorder="1" applyAlignment="1">
      <alignment horizontal="center" vertical="center" wrapText="1"/>
    </xf>
    <xf numFmtId="0" fontId="35" fillId="0" borderId="42" xfId="23" quotePrefix="1" applyFont="1" applyBorder="1" applyAlignment="1">
      <alignment horizontal="center" vertical="center" wrapText="1"/>
    </xf>
  </cellXfs>
  <cellStyles count="68">
    <cellStyle name="S0" xfId="4"/>
    <cellStyle name="S1" xfId="5"/>
    <cellStyle name="S10" xfId="16"/>
    <cellStyle name="S11" xfId="14"/>
    <cellStyle name="S11 2" xfId="66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7 2" xfId="64"/>
    <cellStyle name="S8" xfId="13"/>
    <cellStyle name="S8 2" xfId="65"/>
    <cellStyle name="S9" xfId="15"/>
    <cellStyle name="Обычный" xfId="0" builtinId="0"/>
    <cellStyle name="Обычный 2" xfId="6"/>
    <cellStyle name="Обычный 3" xfId="56"/>
    <cellStyle name="Обычный 4" xfId="58"/>
    <cellStyle name="Обычный 4 2" xfId="60"/>
    <cellStyle name="Обычный 4 2 2" xfId="62"/>
    <cellStyle name="Обычный_от ССР_Форма 1" xfId="67"/>
    <cellStyle name="Стиль 1" xfId="63"/>
    <cellStyle name="Финансовый 2" xfId="57"/>
    <cellStyle name="Финансовый 3" xfId="59"/>
    <cellStyle name="Финансовый 3 2" xfId="61"/>
  </cellStyles>
  <dxfs count="1"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1134340</xdr:colOff>
      <xdr:row>46</xdr:row>
      <xdr:rowOff>406976</xdr:rowOff>
    </xdr:from>
    <xdr:to>
      <xdr:col>2</xdr:col>
      <xdr:colOff>2115881</xdr:colOff>
      <xdr:row>48</xdr:row>
      <xdr:rowOff>47079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99" y="14477999"/>
          <a:ext cx="981541" cy="506012"/>
        </a:xfrm>
        <a:prstGeom prst="rect">
          <a:avLst/>
        </a:prstGeom>
      </xdr:spPr>
    </xdr:pic>
    <xdr:clientData/>
  </xdr:twoCellAnchor>
  <xdr:twoCellAnchor editAs="oneCell">
    <xdr:from>
      <xdr:col>2</xdr:col>
      <xdr:colOff>1600200</xdr:colOff>
      <xdr:row>45</xdr:row>
      <xdr:rowOff>142875</xdr:rowOff>
    </xdr:from>
    <xdr:to>
      <xdr:col>3</xdr:col>
      <xdr:colOff>113979</xdr:colOff>
      <xdr:row>46</xdr:row>
      <xdr:rowOff>86138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24225" y="15039975"/>
          <a:ext cx="695004" cy="371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1435377</xdr:colOff>
      <xdr:row>52</xdr:row>
      <xdr:rowOff>124238</xdr:rowOff>
    </xdr:from>
    <xdr:to>
      <xdr:col>2</xdr:col>
      <xdr:colOff>1438275</xdr:colOff>
      <xdr:row>54</xdr:row>
      <xdr:rowOff>148873</xdr:rowOff>
    </xdr:to>
    <xdr:pic>
      <xdr:nvPicPr>
        <xdr:cNvPr id="2" name="Рисунок 3" descr="Копачук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07052" y="12554363"/>
          <a:ext cx="2898" cy="4056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1552575</xdr:colOff>
      <xdr:row>50</xdr:row>
      <xdr:rowOff>125067</xdr:rowOff>
    </xdr:from>
    <xdr:to>
      <xdr:col>2</xdr:col>
      <xdr:colOff>1552575</xdr:colOff>
      <xdr:row>52</xdr:row>
      <xdr:rowOff>16785</xdr:rowOff>
    </xdr:to>
    <xdr:pic>
      <xdr:nvPicPr>
        <xdr:cNvPr id="3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0" y="12174192"/>
          <a:ext cx="0" cy="2727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1143000</xdr:colOff>
      <xdr:row>51</xdr:row>
      <xdr:rowOff>142875</xdr:rowOff>
    </xdr:from>
    <xdr:to>
      <xdr:col>2</xdr:col>
      <xdr:colOff>2121535</xdr:colOff>
      <xdr:row>54</xdr:row>
      <xdr:rowOff>81280</xdr:rowOff>
    </xdr:to>
    <xdr:pic>
      <xdr:nvPicPr>
        <xdr:cNvPr id="4" name="Рисунок 3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114675" y="12382500"/>
          <a:ext cx="978535" cy="509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1397000</xdr:colOff>
      <xdr:row>49</xdr:row>
      <xdr:rowOff>165100</xdr:rowOff>
    </xdr:from>
    <xdr:to>
      <xdr:col>2</xdr:col>
      <xdr:colOff>2092004</xdr:colOff>
      <xdr:row>51</xdr:row>
      <xdr:rowOff>143288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784600" y="11582400"/>
          <a:ext cx="695004" cy="371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view="pageBreakPreview" topLeftCell="A7" zoomScaleNormal="100" zoomScaleSheetLayoutView="100" workbookViewId="0">
      <selection activeCell="D25" sqref="D25"/>
    </sheetView>
  </sheetViews>
  <sheetFormatPr defaultRowHeight="12.75" x14ac:dyDescent="0.2"/>
  <cols>
    <col min="1" max="1" width="5" style="336" customWidth="1"/>
    <col min="2" max="2" width="17.85546875" style="342" customWidth="1"/>
    <col min="3" max="3" width="43.85546875" style="343" customWidth="1"/>
    <col min="4" max="4" width="14.7109375" style="326" customWidth="1"/>
    <col min="5" max="5" width="13" style="326" customWidth="1"/>
    <col min="6" max="6" width="13.42578125" style="326" customWidth="1"/>
    <col min="7" max="7" width="12.5703125" style="326" customWidth="1"/>
    <col min="8" max="8" width="13.42578125" style="326" customWidth="1"/>
    <col min="9" max="9" width="9.5703125" style="325" hidden="1" customWidth="1"/>
    <col min="10" max="12" width="0" style="325" hidden="1" customWidth="1"/>
    <col min="13" max="13" width="10.7109375" style="325" customWidth="1"/>
    <col min="14" max="16384" width="9.140625" style="325"/>
  </cols>
  <sheetData>
    <row r="1" spans="1:8" s="321" customFormat="1" ht="15.75" x14ac:dyDescent="0.2">
      <c r="A1" s="405" t="s">
        <v>75</v>
      </c>
      <c r="B1" s="320"/>
      <c r="C1" s="447" t="s">
        <v>76</v>
      </c>
      <c r="D1" s="448"/>
      <c r="E1" s="448"/>
      <c r="F1" s="448"/>
      <c r="G1" s="448"/>
      <c r="H1" s="448"/>
    </row>
    <row r="2" spans="1:8" ht="15.75" x14ac:dyDescent="0.2">
      <c r="A2" s="322" t="s">
        <v>77</v>
      </c>
      <c r="B2" s="323"/>
      <c r="C2" s="322"/>
      <c r="D2" s="324"/>
      <c r="E2" s="324"/>
      <c r="F2" s="324"/>
      <c r="G2" s="324"/>
      <c r="H2" s="324"/>
    </row>
    <row r="3" spans="1:8" ht="15.75" x14ac:dyDescent="0.25">
      <c r="A3" s="449" t="s">
        <v>78</v>
      </c>
      <c r="B3" s="450"/>
      <c r="C3" s="450"/>
      <c r="E3" s="451"/>
      <c r="F3" s="451"/>
      <c r="G3" s="451"/>
      <c r="H3" s="451"/>
    </row>
    <row r="4" spans="1:8" s="330" customFormat="1" ht="48" customHeight="1" x14ac:dyDescent="0.25">
      <c r="A4" s="455" t="s">
        <v>79</v>
      </c>
      <c r="B4" s="455"/>
      <c r="C4" s="455"/>
      <c r="D4" s="327">
        <f>H50</f>
        <v>1785.6282591778474</v>
      </c>
      <c r="E4" s="328" t="s">
        <v>80</v>
      </c>
      <c r="F4" s="329"/>
      <c r="G4" s="329"/>
      <c r="H4" s="329"/>
    </row>
    <row r="5" spans="1:8" ht="24" customHeight="1" x14ac:dyDescent="0.25">
      <c r="A5" s="452"/>
      <c r="B5" s="453"/>
      <c r="C5" s="453"/>
      <c r="D5" s="453"/>
      <c r="E5" s="454"/>
      <c r="F5" s="454"/>
      <c r="G5" s="454"/>
      <c r="H5" s="454"/>
    </row>
    <row r="6" spans="1:8" ht="21" customHeight="1" x14ac:dyDescent="0.25">
      <c r="A6" s="456" t="s">
        <v>81</v>
      </c>
      <c r="B6" s="456"/>
      <c r="C6" s="456"/>
      <c r="D6" s="456"/>
      <c r="E6" s="454"/>
      <c r="F6" s="454"/>
      <c r="G6" s="454"/>
      <c r="H6" s="454"/>
    </row>
    <row r="7" spans="1:8" ht="15.75" x14ac:dyDescent="0.25">
      <c r="A7" s="331" t="s">
        <v>82</v>
      </c>
      <c r="B7" s="332"/>
      <c r="C7" s="333"/>
      <c r="D7" s="332"/>
      <c r="E7" s="404"/>
      <c r="F7" s="404"/>
      <c r="G7" s="404"/>
      <c r="H7" s="404"/>
    </row>
    <row r="8" spans="1:8" ht="21" customHeight="1" x14ac:dyDescent="0.25">
      <c r="A8" s="445"/>
      <c r="B8" s="445"/>
      <c r="C8" s="445"/>
      <c r="D8" s="334"/>
      <c r="E8" s="446"/>
      <c r="F8" s="446"/>
      <c r="G8" s="335"/>
      <c r="H8" s="335"/>
    </row>
    <row r="9" spans="1:8" ht="18.75" x14ac:dyDescent="0.2">
      <c r="A9" s="457" t="s">
        <v>83</v>
      </c>
      <c r="B9" s="457"/>
      <c r="C9" s="457"/>
      <c r="D9" s="457"/>
      <c r="E9" s="457"/>
      <c r="F9" s="457"/>
      <c r="G9" s="457"/>
      <c r="H9" s="457"/>
    </row>
    <row r="10" spans="1:8" x14ac:dyDescent="0.2">
      <c r="B10" s="337"/>
      <c r="C10" s="338"/>
      <c r="D10" s="339"/>
      <c r="E10" s="340"/>
      <c r="F10" s="341"/>
      <c r="G10" s="341"/>
      <c r="H10" s="341"/>
    </row>
    <row r="11" spans="1:8" ht="31.5" customHeight="1" x14ac:dyDescent="0.2">
      <c r="A11" s="458" t="s">
        <v>127</v>
      </c>
      <c r="B11" s="459"/>
      <c r="C11" s="459"/>
      <c r="D11" s="459"/>
      <c r="E11" s="459"/>
      <c r="F11" s="459"/>
      <c r="G11" s="459"/>
      <c r="H11" s="459"/>
    </row>
    <row r="12" spans="1:8" ht="7.5" customHeight="1" x14ac:dyDescent="0.2">
      <c r="A12" s="460"/>
      <c r="B12" s="460"/>
      <c r="C12" s="460"/>
      <c r="D12" s="460"/>
      <c r="E12" s="460"/>
      <c r="F12" s="460"/>
      <c r="G12" s="460"/>
      <c r="H12" s="460"/>
    </row>
    <row r="13" spans="1:8" ht="11.25" customHeight="1" x14ac:dyDescent="0.2">
      <c r="A13" s="443" t="s">
        <v>84</v>
      </c>
      <c r="B13" s="444"/>
      <c r="C13" s="444"/>
      <c r="D13" s="444"/>
      <c r="E13" s="444"/>
      <c r="F13" s="444"/>
      <c r="G13" s="444"/>
      <c r="H13" s="444"/>
    </row>
    <row r="14" spans="1:8" x14ac:dyDescent="0.2">
      <c r="B14" s="337"/>
      <c r="C14" s="338"/>
      <c r="D14" s="340"/>
      <c r="E14" s="340"/>
      <c r="F14" s="340"/>
      <c r="G14" s="340"/>
      <c r="H14" s="341"/>
    </row>
    <row r="15" spans="1:8" x14ac:dyDescent="0.2">
      <c r="B15" s="342" t="s">
        <v>85</v>
      </c>
      <c r="D15" s="344"/>
      <c r="E15" s="345"/>
      <c r="F15" s="345"/>
      <c r="G15" s="345"/>
      <c r="H15" s="345"/>
    </row>
    <row r="16" spans="1:8" ht="12.75" customHeight="1" x14ac:dyDescent="0.2">
      <c r="A16" s="435" t="s">
        <v>86</v>
      </c>
      <c r="B16" s="436" t="s">
        <v>28</v>
      </c>
      <c r="C16" s="435" t="s">
        <v>29</v>
      </c>
      <c r="D16" s="437" t="s">
        <v>30</v>
      </c>
      <c r="E16" s="437"/>
      <c r="F16" s="437"/>
      <c r="G16" s="437"/>
      <c r="H16" s="435" t="s">
        <v>87</v>
      </c>
    </row>
    <row r="17" spans="1:10" x14ac:dyDescent="0.2">
      <c r="A17" s="435"/>
      <c r="B17" s="436"/>
      <c r="C17" s="435"/>
      <c r="D17" s="435" t="s">
        <v>88</v>
      </c>
      <c r="E17" s="435" t="s">
        <v>1</v>
      </c>
      <c r="F17" s="435" t="s">
        <v>89</v>
      </c>
      <c r="G17" s="435" t="s">
        <v>90</v>
      </c>
      <c r="H17" s="435"/>
    </row>
    <row r="18" spans="1:10" x14ac:dyDescent="0.2">
      <c r="A18" s="435"/>
      <c r="B18" s="436"/>
      <c r="C18" s="435"/>
      <c r="D18" s="435"/>
      <c r="E18" s="435"/>
      <c r="F18" s="435"/>
      <c r="G18" s="435"/>
      <c r="H18" s="435"/>
    </row>
    <row r="19" spans="1:10" x14ac:dyDescent="0.2">
      <c r="A19" s="435"/>
      <c r="B19" s="436"/>
      <c r="C19" s="435"/>
      <c r="D19" s="435"/>
      <c r="E19" s="435"/>
      <c r="F19" s="435"/>
      <c r="G19" s="435"/>
      <c r="H19" s="435"/>
    </row>
    <row r="20" spans="1:10" x14ac:dyDescent="0.2">
      <c r="A20" s="346">
        <v>1</v>
      </c>
      <c r="B20" s="347">
        <v>2</v>
      </c>
      <c r="C20" s="346">
        <v>3</v>
      </c>
      <c r="D20" s="346">
        <v>4</v>
      </c>
      <c r="E20" s="346">
        <v>5</v>
      </c>
      <c r="F20" s="346">
        <v>6</v>
      </c>
      <c r="G20" s="346">
        <v>7</v>
      </c>
      <c r="H20" s="346">
        <v>8</v>
      </c>
    </row>
    <row r="21" spans="1:10" ht="15.75" customHeight="1" x14ac:dyDescent="0.2">
      <c r="A21" s="431" t="s">
        <v>31</v>
      </c>
      <c r="B21" s="432"/>
      <c r="C21" s="432"/>
      <c r="D21" s="432"/>
      <c r="E21" s="432"/>
      <c r="F21" s="432"/>
      <c r="G21" s="432"/>
      <c r="H21" s="432"/>
    </row>
    <row r="22" spans="1:10" s="354" customFormat="1" ht="14.25" customHeight="1" x14ac:dyDescent="0.2">
      <c r="A22" s="348">
        <v>1</v>
      </c>
      <c r="B22" s="349"/>
      <c r="C22" s="350"/>
      <c r="D22" s="351"/>
      <c r="E22" s="351"/>
      <c r="F22" s="351"/>
      <c r="G22" s="352">
        <v>0</v>
      </c>
      <c r="H22" s="353">
        <f>G22</f>
        <v>0</v>
      </c>
    </row>
    <row r="23" spans="1:10" ht="12" customHeight="1" x14ac:dyDescent="0.2">
      <c r="A23" s="355"/>
      <c r="B23" s="356"/>
      <c r="C23" s="357" t="s">
        <v>91</v>
      </c>
      <c r="D23" s="358"/>
      <c r="E23" s="359"/>
      <c r="F23" s="359"/>
      <c r="G23" s="358">
        <f>SUM(G22:G22)</f>
        <v>0</v>
      </c>
      <c r="H23" s="358">
        <f>SUM(H22:H22)</f>
        <v>0</v>
      </c>
      <c r="J23" s="360">
        <f>D23</f>
        <v>0</v>
      </c>
    </row>
    <row r="24" spans="1:10" x14ac:dyDescent="0.2">
      <c r="A24" s="431" t="s">
        <v>54</v>
      </c>
      <c r="B24" s="432"/>
      <c r="C24" s="432"/>
      <c r="D24" s="432"/>
      <c r="E24" s="432"/>
      <c r="F24" s="432"/>
      <c r="G24" s="432"/>
      <c r="H24" s="432"/>
    </row>
    <row r="25" spans="1:10" ht="59.25" customHeight="1" x14ac:dyDescent="0.2">
      <c r="A25" s="361">
        <v>2</v>
      </c>
      <c r="B25" s="362" t="s">
        <v>125</v>
      </c>
      <c r="C25" s="363" t="s">
        <v>124</v>
      </c>
      <c r="D25" s="364">
        <f>1499775.56/1000</f>
        <v>1499.77556</v>
      </c>
      <c r="E25" s="365"/>
      <c r="F25" s="365"/>
      <c r="G25" s="365"/>
      <c r="H25" s="364">
        <f>SUM(D25:G25)</f>
        <v>1499.77556</v>
      </c>
    </row>
    <row r="26" spans="1:10" x14ac:dyDescent="0.2">
      <c r="A26" s="355"/>
      <c r="B26" s="356"/>
      <c r="C26" s="357" t="s">
        <v>92</v>
      </c>
      <c r="D26" s="358">
        <f>D25</f>
        <v>1499.77556</v>
      </c>
      <c r="E26" s="359">
        <f>E25</f>
        <v>0</v>
      </c>
      <c r="F26" s="359">
        <f>F25</f>
        <v>0</v>
      </c>
      <c r="G26" s="359">
        <f>G25</f>
        <v>0</v>
      </c>
      <c r="H26" s="358">
        <f>SUM(D26:G26)</f>
        <v>1499.77556</v>
      </c>
      <c r="J26" s="360">
        <f>D26</f>
        <v>1499.77556</v>
      </c>
    </row>
    <row r="27" spans="1:10" x14ac:dyDescent="0.2">
      <c r="A27" s="366"/>
      <c r="B27" s="367"/>
      <c r="C27" s="403" t="s">
        <v>93</v>
      </c>
      <c r="D27" s="364">
        <f>D22+D26</f>
        <v>1499.77556</v>
      </c>
      <c r="E27" s="365">
        <f>E22+E26</f>
        <v>0</v>
      </c>
      <c r="F27" s="365">
        <f>F22+F26</f>
        <v>0</v>
      </c>
      <c r="G27" s="364">
        <f>G22+G26</f>
        <v>0</v>
      </c>
      <c r="H27" s="364">
        <f>SUM(D27:G27)</f>
        <v>1499.77556</v>
      </c>
      <c r="I27" s="368"/>
    </row>
    <row r="28" spans="1:10" x14ac:dyDescent="0.2">
      <c r="A28" s="431" t="s">
        <v>21</v>
      </c>
      <c r="B28" s="432"/>
      <c r="C28" s="432"/>
      <c r="D28" s="432"/>
      <c r="E28" s="432"/>
      <c r="F28" s="432"/>
      <c r="G28" s="432"/>
      <c r="H28" s="432"/>
    </row>
    <row r="29" spans="1:10" ht="51.6" customHeight="1" x14ac:dyDescent="0.2">
      <c r="A29" s="361">
        <v>3</v>
      </c>
      <c r="B29" s="362" t="s">
        <v>94</v>
      </c>
      <c r="C29" s="403" t="s">
        <v>59</v>
      </c>
      <c r="D29" s="353">
        <f>D26*2.64%</f>
        <v>39.594074784</v>
      </c>
      <c r="E29" s="365"/>
      <c r="F29" s="365"/>
      <c r="G29" s="365"/>
      <c r="H29" s="364">
        <f>SUM(D29:G29)</f>
        <v>39.594074784</v>
      </c>
    </row>
    <row r="30" spans="1:10" x14ac:dyDescent="0.2">
      <c r="A30" s="355"/>
      <c r="B30" s="356"/>
      <c r="C30" s="357" t="s">
        <v>95</v>
      </c>
      <c r="D30" s="358">
        <f>D29</f>
        <v>39.594074784</v>
      </c>
      <c r="E30" s="359">
        <f>E29</f>
        <v>0</v>
      </c>
      <c r="F30" s="359">
        <f>F29</f>
        <v>0</v>
      </c>
      <c r="G30" s="359">
        <f>G29</f>
        <v>0</v>
      </c>
      <c r="H30" s="358">
        <f>SUM(D30:G30)</f>
        <v>39.594074784</v>
      </c>
      <c r="J30" s="360">
        <f>D30</f>
        <v>39.594074784</v>
      </c>
    </row>
    <row r="31" spans="1:10" x14ac:dyDescent="0.2">
      <c r="A31" s="366"/>
      <c r="B31" s="367"/>
      <c r="C31" s="403" t="s">
        <v>96</v>
      </c>
      <c r="D31" s="364">
        <f>D27+D30</f>
        <v>1539.369634784</v>
      </c>
      <c r="E31" s="365">
        <f>E27+E30</f>
        <v>0</v>
      </c>
      <c r="F31" s="365">
        <f>F27+F30</f>
        <v>0</v>
      </c>
      <c r="G31" s="364">
        <f>G27+G30</f>
        <v>0</v>
      </c>
      <c r="H31" s="364">
        <f>SUM(D31:G31)</f>
        <v>1539.369634784</v>
      </c>
      <c r="I31" s="368"/>
    </row>
    <row r="32" spans="1:10" x14ac:dyDescent="0.2">
      <c r="A32" s="438" t="s">
        <v>9</v>
      </c>
      <c r="B32" s="439"/>
      <c r="C32" s="439"/>
      <c r="D32" s="439"/>
      <c r="E32" s="439"/>
      <c r="F32" s="439"/>
      <c r="G32" s="439"/>
      <c r="H32" s="440"/>
      <c r="I32" s="368"/>
    </row>
    <row r="33" spans="1:14" ht="25.5" x14ac:dyDescent="0.2">
      <c r="A33" s="366">
        <v>4</v>
      </c>
      <c r="B33" s="369" t="s">
        <v>97</v>
      </c>
      <c r="C33" s="370" t="s">
        <v>98</v>
      </c>
      <c r="D33" s="364">
        <f>D31*0.0143</f>
        <v>22.012985777411199</v>
      </c>
      <c r="E33" s="365"/>
      <c r="F33" s="365"/>
      <c r="G33" s="364"/>
      <c r="H33" s="364">
        <f>SUM(D33:G33)</f>
        <v>22.012985777411199</v>
      </c>
      <c r="I33" s="368"/>
    </row>
    <row r="34" spans="1:14" ht="51" x14ac:dyDescent="0.2">
      <c r="A34" s="366">
        <v>5</v>
      </c>
      <c r="B34" s="371" t="s">
        <v>62</v>
      </c>
      <c r="C34" s="363" t="s">
        <v>63</v>
      </c>
      <c r="D34" s="364"/>
      <c r="E34" s="365"/>
      <c r="F34" s="365"/>
      <c r="G34" s="364">
        <f>(D42+E42)*0.0292</f>
        <v>45.592372520393205</v>
      </c>
      <c r="H34" s="364">
        <f>SUM(D34:G34)</f>
        <v>45.592372520393205</v>
      </c>
      <c r="I34" s="368"/>
    </row>
    <row r="35" spans="1:14" x14ac:dyDescent="0.2">
      <c r="A35" s="366">
        <v>6</v>
      </c>
      <c r="B35" s="367" t="s">
        <v>123</v>
      </c>
      <c r="C35" s="403" t="s">
        <v>65</v>
      </c>
      <c r="D35" s="364"/>
      <c r="E35" s="365"/>
      <c r="F35" s="365"/>
      <c r="G35" s="364">
        <f>7740.9/1000</f>
        <v>7.7408999999999999</v>
      </c>
      <c r="H35" s="364">
        <f>SUM(D35:G35)</f>
        <v>7.7408999999999999</v>
      </c>
      <c r="I35" s="368"/>
    </row>
    <row r="36" spans="1:14" x14ac:dyDescent="0.2">
      <c r="A36" s="355"/>
      <c r="B36" s="356"/>
      <c r="C36" s="357" t="s">
        <v>99</v>
      </c>
      <c r="D36" s="358">
        <f>SUM(D33:D35)</f>
        <v>22.012985777411199</v>
      </c>
      <c r="E36" s="359">
        <f>SUM(E33:E35)</f>
        <v>0</v>
      </c>
      <c r="F36" s="359">
        <f>SUM(F33:F35)</f>
        <v>0</v>
      </c>
      <c r="G36" s="359">
        <f>SUM(G33:G35)</f>
        <v>53.333272520393209</v>
      </c>
      <c r="H36" s="358">
        <f>SUM(H33:H35)</f>
        <v>75.346258297804397</v>
      </c>
      <c r="J36" s="360"/>
    </row>
    <row r="37" spans="1:14" x14ac:dyDescent="0.2">
      <c r="A37" s="366"/>
      <c r="B37" s="367"/>
      <c r="C37" s="409" t="s">
        <v>100</v>
      </c>
      <c r="D37" s="364">
        <f>D31+D36</f>
        <v>1561.3826205614112</v>
      </c>
      <c r="E37" s="364">
        <f>E31+E36</f>
        <v>0</v>
      </c>
      <c r="F37" s="364">
        <f>F31+F36</f>
        <v>0</v>
      </c>
      <c r="G37" s="364">
        <f>G31+G36</f>
        <v>53.333272520393209</v>
      </c>
      <c r="H37" s="364">
        <f>SUM(D37:G37)</f>
        <v>1614.7158930818043</v>
      </c>
      <c r="I37" s="368"/>
    </row>
    <row r="38" spans="1:14" ht="12.95" customHeight="1" x14ac:dyDescent="0.2">
      <c r="A38" s="438" t="s">
        <v>101</v>
      </c>
      <c r="B38" s="441"/>
      <c r="C38" s="441"/>
      <c r="D38" s="441"/>
      <c r="E38" s="441"/>
      <c r="F38" s="441"/>
      <c r="G38" s="441"/>
      <c r="H38" s="442"/>
    </row>
    <row r="39" spans="1:14" ht="63.75" x14ac:dyDescent="0.2">
      <c r="A39" s="372">
        <v>7</v>
      </c>
      <c r="B39" s="373" t="s">
        <v>102</v>
      </c>
      <c r="C39" s="350" t="s">
        <v>103</v>
      </c>
      <c r="D39" s="374"/>
      <c r="E39" s="374"/>
      <c r="F39" s="374"/>
      <c r="G39" s="375">
        <f>(H37+G44)*3.73%</f>
        <v>61.096225910951297</v>
      </c>
      <c r="H39" s="376">
        <f>SUM(D39:G39)</f>
        <v>61.096225910951297</v>
      </c>
      <c r="I39" s="377"/>
    </row>
    <row r="40" spans="1:14" ht="165.75" x14ac:dyDescent="0.2">
      <c r="A40" s="372">
        <v>8</v>
      </c>
      <c r="B40" s="373" t="s">
        <v>104</v>
      </c>
      <c r="C40" s="350" t="s">
        <v>105</v>
      </c>
      <c r="D40" s="374"/>
      <c r="E40" s="374"/>
      <c r="F40" s="374"/>
      <c r="G40" s="375">
        <f>H37*0.0214</f>
        <v>34.554920111950608</v>
      </c>
      <c r="H40" s="376">
        <f>SUM(D40:G40)</f>
        <v>34.554920111950608</v>
      </c>
      <c r="I40" s="377"/>
    </row>
    <row r="41" spans="1:14" ht="13.5" customHeight="1" x14ac:dyDescent="0.2">
      <c r="A41" s="355"/>
      <c r="B41" s="356"/>
      <c r="C41" s="357" t="s">
        <v>106</v>
      </c>
      <c r="D41" s="359"/>
      <c r="E41" s="359"/>
      <c r="F41" s="359"/>
      <c r="G41" s="358">
        <f>SUM(G39:G40)</f>
        <v>95.651146022901912</v>
      </c>
      <c r="H41" s="358">
        <f>SUM(D41:G41)</f>
        <v>95.651146022901912</v>
      </c>
      <c r="M41" s="360"/>
    </row>
    <row r="42" spans="1:14" x14ac:dyDescent="0.2">
      <c r="A42" s="366"/>
      <c r="B42" s="367"/>
      <c r="C42" s="403" t="s">
        <v>107</v>
      </c>
      <c r="D42" s="364">
        <f>D37+D41</f>
        <v>1561.3826205614112</v>
      </c>
      <c r="E42" s="364">
        <f>E37+E41</f>
        <v>0</v>
      </c>
      <c r="F42" s="364">
        <f>F37+F41</f>
        <v>0</v>
      </c>
      <c r="G42" s="364">
        <f>G37+G41</f>
        <v>148.98441854329513</v>
      </c>
      <c r="H42" s="364">
        <f>SUM(D42:G42)</f>
        <v>1710.3670391047062</v>
      </c>
    </row>
    <row r="43" spans="1:14" ht="17.25" customHeight="1" x14ac:dyDescent="0.2">
      <c r="A43" s="431" t="s">
        <v>68</v>
      </c>
      <c r="B43" s="432"/>
      <c r="C43" s="432"/>
      <c r="D43" s="432"/>
      <c r="E43" s="432"/>
      <c r="F43" s="432"/>
      <c r="G43" s="432"/>
      <c r="H43" s="432"/>
    </row>
    <row r="44" spans="1:14" s="381" customFormat="1" ht="70.5" customHeight="1" x14ac:dyDescent="0.2">
      <c r="A44" s="378">
        <v>9</v>
      </c>
      <c r="B44" s="379" t="s">
        <v>122</v>
      </c>
      <c r="C44" s="363" t="s">
        <v>121</v>
      </c>
      <c r="D44" s="380"/>
      <c r="E44" s="380"/>
      <c r="F44" s="380"/>
      <c r="G44" s="364">
        <f>23252.63/1000</f>
        <v>23.25263</v>
      </c>
      <c r="H44" s="352">
        <f>SUM(D44:G44)</f>
        <v>23.25263</v>
      </c>
      <c r="M44" s="382"/>
      <c r="N44" s="382"/>
    </row>
    <row r="45" spans="1:14" ht="17.25" customHeight="1" x14ac:dyDescent="0.2">
      <c r="A45" s="355"/>
      <c r="B45" s="356"/>
      <c r="C45" s="357" t="s">
        <v>108</v>
      </c>
      <c r="D45" s="358"/>
      <c r="E45" s="359"/>
      <c r="F45" s="359"/>
      <c r="G45" s="359">
        <f>SUM(G44)</f>
        <v>23.25263</v>
      </c>
      <c r="H45" s="359">
        <f>SUM(H44)</f>
        <v>23.25263</v>
      </c>
      <c r="J45" s="360">
        <f>D45</f>
        <v>0</v>
      </c>
    </row>
    <row r="46" spans="1:14" ht="13.5" customHeight="1" x14ac:dyDescent="0.2">
      <c r="A46" s="366"/>
      <c r="B46" s="367"/>
      <c r="C46" s="403" t="s">
        <v>109</v>
      </c>
      <c r="D46" s="364">
        <f>D42+D45</f>
        <v>1561.3826205614112</v>
      </c>
      <c r="E46" s="364"/>
      <c r="F46" s="364"/>
      <c r="G46" s="364">
        <f>G42+G45</f>
        <v>172.23704854329515</v>
      </c>
      <c r="H46" s="364">
        <f>SUM(D46:G46)</f>
        <v>1733.6196691047062</v>
      </c>
      <c r="I46" s="368"/>
    </row>
    <row r="47" spans="1:14" x14ac:dyDescent="0.2">
      <c r="A47" s="431" t="s">
        <v>110</v>
      </c>
      <c r="B47" s="432"/>
      <c r="C47" s="432"/>
      <c r="D47" s="432"/>
      <c r="E47" s="432"/>
      <c r="F47" s="432"/>
      <c r="G47" s="432"/>
      <c r="H47" s="432"/>
    </row>
    <row r="48" spans="1:14" ht="25.5" x14ac:dyDescent="0.2">
      <c r="A48" s="372">
        <v>10</v>
      </c>
      <c r="B48" s="373" t="s">
        <v>111</v>
      </c>
      <c r="C48" s="350" t="s">
        <v>71</v>
      </c>
      <c r="D48" s="374">
        <f>D46*3%</f>
        <v>46.84147861684233</v>
      </c>
      <c r="E48" s="374"/>
      <c r="F48" s="374"/>
      <c r="G48" s="374">
        <f>G46*3%</f>
        <v>5.167111456298854</v>
      </c>
      <c r="H48" s="374">
        <f>SUM(D48:G48)</f>
        <v>52.008590073141185</v>
      </c>
      <c r="I48" s="377"/>
    </row>
    <row r="49" spans="1:9" x14ac:dyDescent="0.2">
      <c r="A49" s="355"/>
      <c r="B49" s="356"/>
      <c r="C49" s="357" t="s">
        <v>112</v>
      </c>
      <c r="D49" s="359">
        <f>D48</f>
        <v>46.84147861684233</v>
      </c>
      <c r="E49" s="359"/>
      <c r="F49" s="359"/>
      <c r="G49" s="358">
        <f>G48</f>
        <v>5.167111456298854</v>
      </c>
      <c r="H49" s="358">
        <f>SUM(D49:G49)</f>
        <v>52.008590073141185</v>
      </c>
    </row>
    <row r="50" spans="1:9" s="321" customFormat="1" x14ac:dyDescent="0.2">
      <c r="A50" s="408"/>
      <c r="B50" s="407"/>
      <c r="C50" s="402" t="s">
        <v>73</v>
      </c>
      <c r="D50" s="383">
        <f>D46+D49</f>
        <v>1608.2240991782535</v>
      </c>
      <c r="E50" s="384">
        <f>E46+E49</f>
        <v>0</v>
      </c>
      <c r="F50" s="384">
        <f>F46+F49</f>
        <v>0</v>
      </c>
      <c r="G50" s="383">
        <f>G46+G49</f>
        <v>177.40415999959399</v>
      </c>
      <c r="H50" s="383">
        <f>SUM(D50:G50)</f>
        <v>1785.6282591778474</v>
      </c>
    </row>
    <row r="51" spans="1:9" hidden="1" x14ac:dyDescent="0.2">
      <c r="A51" s="431" t="s">
        <v>113</v>
      </c>
      <c r="B51" s="432"/>
      <c r="C51" s="432"/>
      <c r="D51" s="432"/>
      <c r="E51" s="432"/>
      <c r="F51" s="432"/>
      <c r="G51" s="432"/>
      <c r="H51" s="432"/>
    </row>
    <row r="52" spans="1:9" ht="25.9" hidden="1" customHeight="1" x14ac:dyDescent="0.2">
      <c r="A52" s="361">
        <v>10</v>
      </c>
      <c r="B52" s="362" t="s">
        <v>114</v>
      </c>
      <c r="C52" s="403" t="s">
        <v>115</v>
      </c>
      <c r="D52" s="364">
        <f>D50*0.2</f>
        <v>321.64481983565071</v>
      </c>
      <c r="E52" s="365"/>
      <c r="F52" s="365"/>
      <c r="G52" s="364">
        <f>G50*0.2</f>
        <v>35.480831999918799</v>
      </c>
      <c r="H52" s="364">
        <f>SUM(D52:G52)</f>
        <v>357.1256518355695</v>
      </c>
    </row>
    <row r="53" spans="1:9" ht="25.9" hidden="1" customHeight="1" x14ac:dyDescent="0.2">
      <c r="A53" s="366"/>
      <c r="B53" s="367"/>
      <c r="C53" s="403" t="s">
        <v>116</v>
      </c>
      <c r="D53" s="364">
        <f>D52</f>
        <v>321.64481983565071</v>
      </c>
      <c r="E53" s="365"/>
      <c r="F53" s="365"/>
      <c r="G53" s="364">
        <f>G52</f>
        <v>35.480831999918799</v>
      </c>
      <c r="H53" s="364">
        <f>SUM(D53:G53)</f>
        <v>357.1256518355695</v>
      </c>
    </row>
    <row r="54" spans="1:9" ht="12.75" hidden="1" customHeight="1" x14ac:dyDescent="0.2">
      <c r="A54" s="366"/>
      <c r="B54" s="433" t="s">
        <v>117</v>
      </c>
      <c r="C54" s="432"/>
      <c r="D54" s="383">
        <f>D50+D52</f>
        <v>1929.8689190139041</v>
      </c>
      <c r="E54" s="384">
        <f>E50+E52</f>
        <v>0</v>
      </c>
      <c r="F54" s="384">
        <f>F50+F52</f>
        <v>0</v>
      </c>
      <c r="G54" s="383">
        <f>G50+G52</f>
        <v>212.88499199951278</v>
      </c>
      <c r="H54" s="383">
        <f>SUM(D54:G54)</f>
        <v>2142.7539110134171</v>
      </c>
      <c r="I54" s="368"/>
    </row>
    <row r="55" spans="1:9" x14ac:dyDescent="0.2">
      <c r="D55" s="391"/>
      <c r="G55" s="391"/>
    </row>
    <row r="57" spans="1:9" ht="21" customHeight="1" x14ac:dyDescent="0.2">
      <c r="A57" s="434" t="s">
        <v>118</v>
      </c>
      <c r="B57" s="430"/>
      <c r="C57" s="430"/>
      <c r="D57" s="430"/>
      <c r="E57" s="430"/>
      <c r="F57" s="430"/>
      <c r="G57" s="430"/>
      <c r="H57" s="430"/>
    </row>
    <row r="58" spans="1:9" x14ac:dyDescent="0.2">
      <c r="A58" s="429" t="s">
        <v>119</v>
      </c>
      <c r="B58" s="430"/>
      <c r="C58" s="430"/>
      <c r="D58" s="430"/>
      <c r="E58" s="430"/>
      <c r="F58" s="430"/>
      <c r="G58" s="430"/>
      <c r="H58" s="430"/>
    </row>
    <row r="59" spans="1:9" ht="15.6" customHeight="1" x14ac:dyDescent="0.2">
      <c r="A59" s="390"/>
      <c r="B59" s="337"/>
      <c r="C59" s="338"/>
      <c r="D59" s="340"/>
      <c r="E59" s="340"/>
      <c r="F59" s="340"/>
      <c r="G59" s="340"/>
      <c r="H59" s="340"/>
    </row>
    <row r="60" spans="1:9" ht="15.6" customHeight="1" x14ac:dyDescent="0.2">
      <c r="A60" s="434" t="s">
        <v>120</v>
      </c>
      <c r="B60" s="430"/>
      <c r="C60" s="430"/>
      <c r="D60" s="430"/>
      <c r="E60" s="430"/>
      <c r="F60" s="430"/>
      <c r="G60" s="430"/>
      <c r="H60" s="430"/>
    </row>
    <row r="61" spans="1:9" ht="15.6" customHeight="1" x14ac:dyDescent="0.2">
      <c r="A61" s="429" t="s">
        <v>119</v>
      </c>
      <c r="B61" s="430"/>
      <c r="C61" s="430"/>
      <c r="D61" s="430"/>
      <c r="E61" s="430"/>
      <c r="F61" s="430"/>
      <c r="G61" s="430"/>
      <c r="H61" s="430"/>
    </row>
  </sheetData>
  <mergeCells count="36">
    <mergeCell ref="A13:H13"/>
    <mergeCell ref="A8:C8"/>
    <mergeCell ref="E8:F8"/>
    <mergeCell ref="C1:H1"/>
    <mergeCell ref="A3:C3"/>
    <mergeCell ref="E3:H3"/>
    <mergeCell ref="A5:D5"/>
    <mergeCell ref="E5:H5"/>
    <mergeCell ref="A4:C4"/>
    <mergeCell ref="A6:D6"/>
    <mergeCell ref="E6:H6"/>
    <mergeCell ref="A9:H9"/>
    <mergeCell ref="A11:H11"/>
    <mergeCell ref="A12:H12"/>
    <mergeCell ref="A43:H43"/>
    <mergeCell ref="A16:A19"/>
    <mergeCell ref="B16:B19"/>
    <mergeCell ref="C16:C19"/>
    <mergeCell ref="D16:G16"/>
    <mergeCell ref="H16:H19"/>
    <mergeCell ref="D17:D19"/>
    <mergeCell ref="E17:E19"/>
    <mergeCell ref="F17:F19"/>
    <mergeCell ref="G17:G19"/>
    <mergeCell ref="A21:H21"/>
    <mergeCell ref="A24:H24"/>
    <mergeCell ref="A28:H28"/>
    <mergeCell ref="A32:H32"/>
    <mergeCell ref="A38:H38"/>
    <mergeCell ref="A61:H61"/>
    <mergeCell ref="A47:H47"/>
    <mergeCell ref="A51:H51"/>
    <mergeCell ref="B54:C54"/>
    <mergeCell ref="A57:H57"/>
    <mergeCell ref="A58:H58"/>
    <mergeCell ref="A60:H60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view="pageBreakPreview" topLeftCell="A22" zoomScaleNormal="100" zoomScaleSheetLayoutView="100" workbookViewId="0">
      <selection activeCell="D25" sqref="D25"/>
    </sheetView>
  </sheetViews>
  <sheetFormatPr defaultRowHeight="12.75" x14ac:dyDescent="0.2"/>
  <cols>
    <col min="1" max="1" width="5" style="336" customWidth="1"/>
    <col min="2" max="2" width="17.85546875" style="342" customWidth="1"/>
    <col min="3" max="3" width="43.85546875" style="343" customWidth="1"/>
    <col min="4" max="4" width="15" style="326" customWidth="1"/>
    <col min="5" max="5" width="13" style="326" customWidth="1"/>
    <col min="6" max="6" width="13.42578125" style="326" customWidth="1"/>
    <col min="7" max="7" width="12.5703125" style="326" customWidth="1"/>
    <col min="8" max="8" width="13.42578125" style="326" customWidth="1"/>
    <col min="9" max="9" width="9.5703125" style="325" hidden="1" customWidth="1"/>
    <col min="10" max="12" width="0" style="325" hidden="1" customWidth="1"/>
    <col min="13" max="13" width="10.7109375" style="325" customWidth="1"/>
    <col min="14" max="16384" width="9.140625" style="325"/>
  </cols>
  <sheetData>
    <row r="1" spans="1:8" s="321" customFormat="1" ht="15.75" x14ac:dyDescent="0.2">
      <c r="A1" s="405" t="s">
        <v>75</v>
      </c>
      <c r="B1" s="320"/>
      <c r="C1" s="447" t="s">
        <v>76</v>
      </c>
      <c r="D1" s="448"/>
      <c r="E1" s="448"/>
      <c r="F1" s="448"/>
      <c r="G1" s="448"/>
      <c r="H1" s="448"/>
    </row>
    <row r="2" spans="1:8" ht="15.75" x14ac:dyDescent="0.2">
      <c r="A2" s="322" t="s">
        <v>77</v>
      </c>
      <c r="B2" s="323"/>
      <c r="C2" s="322"/>
      <c r="D2" s="324"/>
      <c r="E2" s="324"/>
      <c r="F2" s="324"/>
      <c r="G2" s="324"/>
      <c r="H2" s="324"/>
    </row>
    <row r="3" spans="1:8" ht="15.75" x14ac:dyDescent="0.25">
      <c r="A3" s="449" t="s">
        <v>78</v>
      </c>
      <c r="B3" s="450"/>
      <c r="C3" s="450"/>
      <c r="E3" s="451"/>
      <c r="F3" s="451"/>
      <c r="G3" s="451"/>
      <c r="H3" s="451"/>
    </row>
    <row r="4" spans="1:8" s="330" customFormat="1" ht="48" customHeight="1" x14ac:dyDescent="0.25">
      <c r="A4" s="455" t="s">
        <v>79</v>
      </c>
      <c r="B4" s="455"/>
      <c r="C4" s="455"/>
      <c r="D4" s="327">
        <f>H50</f>
        <v>9965.0109938742589</v>
      </c>
      <c r="E4" s="328" t="s">
        <v>80</v>
      </c>
      <c r="F4" s="329"/>
      <c r="G4" s="329"/>
      <c r="H4" s="329"/>
    </row>
    <row r="5" spans="1:8" ht="24" customHeight="1" x14ac:dyDescent="0.25">
      <c r="A5" s="452"/>
      <c r="B5" s="453"/>
      <c r="C5" s="453"/>
      <c r="D5" s="453"/>
      <c r="E5" s="454"/>
      <c r="F5" s="454"/>
      <c r="G5" s="454"/>
      <c r="H5" s="454"/>
    </row>
    <row r="6" spans="1:8" ht="21" customHeight="1" x14ac:dyDescent="0.25">
      <c r="A6" s="456" t="s">
        <v>81</v>
      </c>
      <c r="B6" s="456"/>
      <c r="C6" s="456"/>
      <c r="D6" s="456"/>
      <c r="E6" s="454"/>
      <c r="F6" s="454"/>
      <c r="G6" s="454"/>
      <c r="H6" s="454"/>
    </row>
    <row r="7" spans="1:8" ht="15.75" x14ac:dyDescent="0.25">
      <c r="A7" s="331" t="s">
        <v>82</v>
      </c>
      <c r="B7" s="332"/>
      <c r="C7" s="333"/>
      <c r="D7" s="332"/>
      <c r="E7" s="404"/>
      <c r="F7" s="404"/>
      <c r="G7" s="404"/>
      <c r="H7" s="404"/>
    </row>
    <row r="8" spans="1:8" ht="21" customHeight="1" x14ac:dyDescent="0.25">
      <c r="A8" s="445"/>
      <c r="B8" s="445"/>
      <c r="C8" s="445"/>
      <c r="D8" s="334"/>
      <c r="E8" s="446"/>
      <c r="F8" s="446"/>
      <c r="G8" s="335"/>
      <c r="H8" s="335"/>
    </row>
    <row r="9" spans="1:8" ht="18.75" x14ac:dyDescent="0.2">
      <c r="A9" s="457" t="s">
        <v>83</v>
      </c>
      <c r="B9" s="457"/>
      <c r="C9" s="457"/>
      <c r="D9" s="457"/>
      <c r="E9" s="457"/>
      <c r="F9" s="457"/>
      <c r="G9" s="457"/>
      <c r="H9" s="457"/>
    </row>
    <row r="10" spans="1:8" x14ac:dyDescent="0.2">
      <c r="B10" s="337"/>
      <c r="C10" s="338"/>
      <c r="D10" s="339"/>
      <c r="E10" s="340"/>
      <c r="F10" s="341"/>
      <c r="G10" s="341"/>
      <c r="H10" s="341"/>
    </row>
    <row r="11" spans="1:8" ht="31.5" customHeight="1" x14ac:dyDescent="0.2">
      <c r="A11" s="458" t="s">
        <v>127</v>
      </c>
      <c r="B11" s="459"/>
      <c r="C11" s="459"/>
      <c r="D11" s="459"/>
      <c r="E11" s="459"/>
      <c r="F11" s="459"/>
      <c r="G11" s="459"/>
      <c r="H11" s="459"/>
    </row>
    <row r="12" spans="1:8" ht="7.5" customHeight="1" x14ac:dyDescent="0.2">
      <c r="A12" s="460"/>
      <c r="B12" s="460"/>
      <c r="C12" s="460"/>
      <c r="D12" s="460"/>
      <c r="E12" s="460"/>
      <c r="F12" s="460"/>
      <c r="G12" s="460"/>
      <c r="H12" s="460"/>
    </row>
    <row r="13" spans="1:8" ht="11.25" customHeight="1" x14ac:dyDescent="0.2">
      <c r="A13" s="443" t="s">
        <v>84</v>
      </c>
      <c r="B13" s="444"/>
      <c r="C13" s="444"/>
      <c r="D13" s="444"/>
      <c r="E13" s="444"/>
      <c r="F13" s="444"/>
      <c r="G13" s="444"/>
      <c r="H13" s="444"/>
    </row>
    <row r="14" spans="1:8" x14ac:dyDescent="0.2">
      <c r="B14" s="337"/>
      <c r="C14" s="338"/>
      <c r="D14" s="340"/>
      <c r="E14" s="340"/>
      <c r="F14" s="340"/>
      <c r="G14" s="340"/>
      <c r="H14" s="341"/>
    </row>
    <row r="15" spans="1:8" x14ac:dyDescent="0.2">
      <c r="B15" s="342" t="s">
        <v>126</v>
      </c>
      <c r="D15" s="344"/>
      <c r="E15" s="345"/>
      <c r="F15" s="345"/>
      <c r="G15" s="345"/>
      <c r="H15" s="345"/>
    </row>
    <row r="16" spans="1:8" ht="12.75" customHeight="1" x14ac:dyDescent="0.2">
      <c r="A16" s="435" t="s">
        <v>86</v>
      </c>
      <c r="B16" s="436" t="s">
        <v>28</v>
      </c>
      <c r="C16" s="435" t="s">
        <v>29</v>
      </c>
      <c r="D16" s="437" t="s">
        <v>30</v>
      </c>
      <c r="E16" s="437"/>
      <c r="F16" s="437"/>
      <c r="G16" s="437"/>
      <c r="H16" s="435" t="s">
        <v>87</v>
      </c>
    </row>
    <row r="17" spans="1:10" x14ac:dyDescent="0.2">
      <c r="A17" s="435"/>
      <c r="B17" s="436"/>
      <c r="C17" s="435"/>
      <c r="D17" s="435" t="s">
        <v>88</v>
      </c>
      <c r="E17" s="435" t="s">
        <v>1</v>
      </c>
      <c r="F17" s="435" t="s">
        <v>89</v>
      </c>
      <c r="G17" s="435" t="s">
        <v>90</v>
      </c>
      <c r="H17" s="435"/>
    </row>
    <row r="18" spans="1:10" x14ac:dyDescent="0.2">
      <c r="A18" s="435"/>
      <c r="B18" s="436"/>
      <c r="C18" s="435"/>
      <c r="D18" s="435"/>
      <c r="E18" s="435"/>
      <c r="F18" s="435"/>
      <c r="G18" s="435"/>
      <c r="H18" s="435"/>
    </row>
    <row r="19" spans="1:10" x14ac:dyDescent="0.2">
      <c r="A19" s="435"/>
      <c r="B19" s="436"/>
      <c r="C19" s="435"/>
      <c r="D19" s="435"/>
      <c r="E19" s="435"/>
      <c r="F19" s="435"/>
      <c r="G19" s="435"/>
      <c r="H19" s="435"/>
    </row>
    <row r="20" spans="1:10" x14ac:dyDescent="0.2">
      <c r="A20" s="346">
        <v>1</v>
      </c>
      <c r="B20" s="347">
        <v>2</v>
      </c>
      <c r="C20" s="346">
        <v>3</v>
      </c>
      <c r="D20" s="346">
        <v>4</v>
      </c>
      <c r="E20" s="346">
        <v>5</v>
      </c>
      <c r="F20" s="346">
        <v>6</v>
      </c>
      <c r="G20" s="346">
        <v>7</v>
      </c>
      <c r="H20" s="346">
        <v>8</v>
      </c>
    </row>
    <row r="21" spans="1:10" ht="15.75" customHeight="1" x14ac:dyDescent="0.2">
      <c r="A21" s="431" t="s">
        <v>31</v>
      </c>
      <c r="B21" s="432"/>
      <c r="C21" s="432"/>
      <c r="D21" s="432"/>
      <c r="E21" s="432"/>
      <c r="F21" s="432"/>
      <c r="G21" s="432"/>
      <c r="H21" s="432"/>
    </row>
    <row r="22" spans="1:10" s="354" customFormat="1" ht="14.25" customHeight="1" x14ac:dyDescent="0.2">
      <c r="A22" s="348">
        <v>1</v>
      </c>
      <c r="B22" s="349"/>
      <c r="C22" s="350"/>
      <c r="D22" s="351"/>
      <c r="E22" s="351"/>
      <c r="F22" s="351"/>
      <c r="G22" s="352">
        <v>0</v>
      </c>
      <c r="H22" s="353">
        <f>G22</f>
        <v>0</v>
      </c>
    </row>
    <row r="23" spans="1:10" ht="12" customHeight="1" x14ac:dyDescent="0.2">
      <c r="A23" s="355"/>
      <c r="B23" s="356"/>
      <c r="C23" s="357" t="s">
        <v>91</v>
      </c>
      <c r="D23" s="358"/>
      <c r="E23" s="359"/>
      <c r="F23" s="359"/>
      <c r="G23" s="358">
        <f>SUM(G22:G22)</f>
        <v>0</v>
      </c>
      <c r="H23" s="358">
        <f>SUM(H22:H22)</f>
        <v>0</v>
      </c>
      <c r="J23" s="360">
        <f>D23</f>
        <v>0</v>
      </c>
    </row>
    <row r="24" spans="1:10" x14ac:dyDescent="0.2">
      <c r="A24" s="431" t="s">
        <v>54</v>
      </c>
      <c r="B24" s="432"/>
      <c r="C24" s="432"/>
      <c r="D24" s="432"/>
      <c r="E24" s="432"/>
      <c r="F24" s="432"/>
      <c r="G24" s="432"/>
      <c r="H24" s="432"/>
    </row>
    <row r="25" spans="1:10" ht="59.25" customHeight="1" x14ac:dyDescent="0.2">
      <c r="A25" s="361">
        <v>2</v>
      </c>
      <c r="B25" s="362" t="s">
        <v>125</v>
      </c>
      <c r="C25" s="363" t="s">
        <v>124</v>
      </c>
      <c r="D25" s="364">
        <f>'ССР 2000'!D25*5.35</f>
        <v>8023.7992459999996</v>
      </c>
      <c r="E25" s="365"/>
      <c r="F25" s="365"/>
      <c r="G25" s="365"/>
      <c r="H25" s="364">
        <f>SUM(D25:G25)</f>
        <v>8023.7992459999996</v>
      </c>
    </row>
    <row r="26" spans="1:10" x14ac:dyDescent="0.2">
      <c r="A26" s="355"/>
      <c r="B26" s="356"/>
      <c r="C26" s="357" t="s">
        <v>92</v>
      </c>
      <c r="D26" s="358">
        <f>D25</f>
        <v>8023.7992459999996</v>
      </c>
      <c r="E26" s="359">
        <f>E25</f>
        <v>0</v>
      </c>
      <c r="F26" s="359">
        <f>F25</f>
        <v>0</v>
      </c>
      <c r="G26" s="359">
        <f>G25</f>
        <v>0</v>
      </c>
      <c r="H26" s="358">
        <f>SUM(D26:G26)</f>
        <v>8023.7992459999996</v>
      </c>
      <c r="J26" s="360">
        <f>D26</f>
        <v>8023.7992459999996</v>
      </c>
    </row>
    <row r="27" spans="1:10" x14ac:dyDescent="0.2">
      <c r="A27" s="366"/>
      <c r="B27" s="367"/>
      <c r="C27" s="403" t="s">
        <v>93</v>
      </c>
      <c r="D27" s="364">
        <f>D22+D26</f>
        <v>8023.7992459999996</v>
      </c>
      <c r="E27" s="365">
        <f>E22+E26</f>
        <v>0</v>
      </c>
      <c r="F27" s="365">
        <f>F22+F26</f>
        <v>0</v>
      </c>
      <c r="G27" s="364">
        <f>G22+G26</f>
        <v>0</v>
      </c>
      <c r="H27" s="364">
        <f>SUM(D27:G27)</f>
        <v>8023.7992459999996</v>
      </c>
      <c r="I27" s="368"/>
    </row>
    <row r="28" spans="1:10" x14ac:dyDescent="0.2">
      <c r="A28" s="431" t="s">
        <v>21</v>
      </c>
      <c r="B28" s="432"/>
      <c r="C28" s="432"/>
      <c r="D28" s="432"/>
      <c r="E28" s="432"/>
      <c r="F28" s="432"/>
      <c r="G28" s="432"/>
      <c r="H28" s="432"/>
    </row>
    <row r="29" spans="1:10" ht="51.6" customHeight="1" x14ac:dyDescent="0.2">
      <c r="A29" s="361">
        <v>3</v>
      </c>
      <c r="B29" s="362" t="s">
        <v>94</v>
      </c>
      <c r="C29" s="403" t="s">
        <v>59</v>
      </c>
      <c r="D29" s="353">
        <f>D26*2.64%</f>
        <v>211.82830009439999</v>
      </c>
      <c r="E29" s="365"/>
      <c r="F29" s="365"/>
      <c r="G29" s="365"/>
      <c r="H29" s="364">
        <f>SUM(D29:G29)</f>
        <v>211.82830009439999</v>
      </c>
    </row>
    <row r="30" spans="1:10" x14ac:dyDescent="0.2">
      <c r="A30" s="355"/>
      <c r="B30" s="356"/>
      <c r="C30" s="357" t="s">
        <v>95</v>
      </c>
      <c r="D30" s="358">
        <f>D29</f>
        <v>211.82830009439999</v>
      </c>
      <c r="E30" s="359">
        <f>E29</f>
        <v>0</v>
      </c>
      <c r="F30" s="359">
        <f>F29</f>
        <v>0</v>
      </c>
      <c r="G30" s="359">
        <f>G29</f>
        <v>0</v>
      </c>
      <c r="H30" s="358">
        <f>SUM(D30:G30)</f>
        <v>211.82830009439999</v>
      </c>
      <c r="J30" s="360">
        <f>D30</f>
        <v>211.82830009439999</v>
      </c>
    </row>
    <row r="31" spans="1:10" x14ac:dyDescent="0.2">
      <c r="A31" s="366"/>
      <c r="B31" s="367"/>
      <c r="C31" s="403" t="s">
        <v>96</v>
      </c>
      <c r="D31" s="364">
        <f>D27+D30</f>
        <v>8235.6275460943998</v>
      </c>
      <c r="E31" s="365">
        <f>E27+E30</f>
        <v>0</v>
      </c>
      <c r="F31" s="365">
        <f>F27+F30</f>
        <v>0</v>
      </c>
      <c r="G31" s="364">
        <f>G27+G30</f>
        <v>0</v>
      </c>
      <c r="H31" s="364">
        <f>SUM(D31:G31)</f>
        <v>8235.6275460943998</v>
      </c>
      <c r="I31" s="368"/>
    </row>
    <row r="32" spans="1:10" x14ac:dyDescent="0.2">
      <c r="A32" s="438" t="s">
        <v>9</v>
      </c>
      <c r="B32" s="439"/>
      <c r="C32" s="439"/>
      <c r="D32" s="439"/>
      <c r="E32" s="439"/>
      <c r="F32" s="439"/>
      <c r="G32" s="439"/>
      <c r="H32" s="440"/>
      <c r="I32" s="368"/>
    </row>
    <row r="33" spans="1:14" ht="25.5" x14ac:dyDescent="0.2">
      <c r="A33" s="366">
        <v>4</v>
      </c>
      <c r="B33" s="369" t="s">
        <v>97</v>
      </c>
      <c r="C33" s="370" t="s">
        <v>98</v>
      </c>
      <c r="D33" s="364">
        <f>D31*0.0143</f>
        <v>117.76947390914992</v>
      </c>
      <c r="E33" s="365"/>
      <c r="F33" s="365"/>
      <c r="G33" s="364"/>
      <c r="H33" s="364">
        <f>SUM(D33:G33)</f>
        <v>117.76947390914992</v>
      </c>
      <c r="I33" s="368"/>
    </row>
    <row r="34" spans="1:14" ht="51" x14ac:dyDescent="0.2">
      <c r="A34" s="366">
        <v>5</v>
      </c>
      <c r="B34" s="371" t="s">
        <v>62</v>
      </c>
      <c r="C34" s="363" t="s">
        <v>63</v>
      </c>
      <c r="D34" s="364"/>
      <c r="E34" s="365"/>
      <c r="F34" s="365"/>
      <c r="G34" s="364">
        <f>(D42+E42)*0.0292</f>
        <v>243.91919298410363</v>
      </c>
      <c r="H34" s="364">
        <f>SUM(D34:G34)</f>
        <v>243.91919298410363</v>
      </c>
      <c r="I34" s="368"/>
    </row>
    <row r="35" spans="1:14" x14ac:dyDescent="0.2">
      <c r="A35" s="366">
        <v>6</v>
      </c>
      <c r="B35" s="367" t="s">
        <v>123</v>
      </c>
      <c r="C35" s="403" t="s">
        <v>65</v>
      </c>
      <c r="D35" s="364"/>
      <c r="E35" s="365"/>
      <c r="F35" s="365"/>
      <c r="G35" s="364">
        <f>7740.9*9.19/1000</f>
        <v>71.138870999999995</v>
      </c>
      <c r="H35" s="364">
        <f>SUM(D35:G35)</f>
        <v>71.138870999999995</v>
      </c>
      <c r="I35" s="368"/>
    </row>
    <row r="36" spans="1:14" x14ac:dyDescent="0.2">
      <c r="A36" s="355"/>
      <c r="B36" s="356"/>
      <c r="C36" s="357" t="s">
        <v>99</v>
      </c>
      <c r="D36" s="358">
        <f>SUM(D33:D35)</f>
        <v>117.76947390914992</v>
      </c>
      <c r="E36" s="359">
        <f>SUM(E33:E35)</f>
        <v>0</v>
      </c>
      <c r="F36" s="359">
        <f>SUM(F33:F35)</f>
        <v>0</v>
      </c>
      <c r="G36" s="359">
        <f>SUM(G33:G35)</f>
        <v>315.05806398410363</v>
      </c>
      <c r="H36" s="358">
        <f>SUM(H33:H35)</f>
        <v>432.82753789325352</v>
      </c>
      <c r="J36" s="360"/>
    </row>
    <row r="37" spans="1:14" x14ac:dyDescent="0.2">
      <c r="A37" s="366"/>
      <c r="B37" s="367"/>
      <c r="C37" s="409" t="s">
        <v>100</v>
      </c>
      <c r="D37" s="364">
        <f>D31+D36</f>
        <v>8353.3970200035492</v>
      </c>
      <c r="E37" s="364">
        <f>E31+E36</f>
        <v>0</v>
      </c>
      <c r="F37" s="364">
        <f>F31+F36</f>
        <v>0</v>
      </c>
      <c r="G37" s="364">
        <f>G31+G36</f>
        <v>315.05806398410363</v>
      </c>
      <c r="H37" s="364">
        <f>SUM(D37:G37)</f>
        <v>8668.455083987652</v>
      </c>
      <c r="I37" s="368"/>
    </row>
    <row r="38" spans="1:14" ht="12.95" customHeight="1" x14ac:dyDescent="0.2">
      <c r="A38" s="438" t="s">
        <v>101</v>
      </c>
      <c r="B38" s="441"/>
      <c r="C38" s="441"/>
      <c r="D38" s="441"/>
      <c r="E38" s="441"/>
      <c r="F38" s="441"/>
      <c r="G38" s="441"/>
      <c r="H38" s="442"/>
    </row>
    <row r="39" spans="1:14" ht="63.75" x14ac:dyDescent="0.2">
      <c r="A39" s="372">
        <v>7</v>
      </c>
      <c r="B39" s="373" t="s">
        <v>102</v>
      </c>
      <c r="C39" s="350" t="s">
        <v>103</v>
      </c>
      <c r="D39" s="374"/>
      <c r="E39" s="374"/>
      <c r="F39" s="374"/>
      <c r="G39" s="375">
        <f>(H37+G44)*3.73%</f>
        <v>341.22193243273938</v>
      </c>
      <c r="H39" s="376">
        <f>SUM(D39:G39)</f>
        <v>341.22193243273938</v>
      </c>
      <c r="I39" s="377"/>
    </row>
    <row r="40" spans="1:14" ht="165.75" x14ac:dyDescent="0.2">
      <c r="A40" s="372">
        <v>8</v>
      </c>
      <c r="B40" s="373" t="s">
        <v>104</v>
      </c>
      <c r="C40" s="350" t="s">
        <v>105</v>
      </c>
      <c r="D40" s="374"/>
      <c r="E40" s="374"/>
      <c r="F40" s="374"/>
      <c r="G40" s="375">
        <f>H37*0.0214</f>
        <v>185.50493879733574</v>
      </c>
      <c r="H40" s="376">
        <f>SUM(D40:G40)</f>
        <v>185.50493879733574</v>
      </c>
      <c r="I40" s="377"/>
    </row>
    <row r="41" spans="1:14" ht="13.5" customHeight="1" x14ac:dyDescent="0.2">
      <c r="A41" s="355"/>
      <c r="B41" s="356"/>
      <c r="C41" s="357" t="s">
        <v>106</v>
      </c>
      <c r="D41" s="359"/>
      <c r="E41" s="359"/>
      <c r="F41" s="359"/>
      <c r="G41" s="358">
        <f>SUM(G39:G40)</f>
        <v>526.72687123007518</v>
      </c>
      <c r="H41" s="358">
        <f>SUM(D41:G41)</f>
        <v>526.72687123007518</v>
      </c>
      <c r="M41" s="360"/>
    </row>
    <row r="42" spans="1:14" x14ac:dyDescent="0.2">
      <c r="A42" s="366"/>
      <c r="B42" s="367"/>
      <c r="C42" s="403" t="s">
        <v>107</v>
      </c>
      <c r="D42" s="364">
        <f>D37+D41</f>
        <v>8353.3970200035492</v>
      </c>
      <c r="E42" s="364">
        <f>E37+E41</f>
        <v>0</v>
      </c>
      <c r="F42" s="364">
        <f>F37+F41</f>
        <v>0</v>
      </c>
      <c r="G42" s="364">
        <f>G37+G41</f>
        <v>841.78493521417886</v>
      </c>
      <c r="H42" s="364">
        <f>SUM(D42:G42)</f>
        <v>9195.1819552177276</v>
      </c>
    </row>
    <row r="43" spans="1:14" ht="17.25" customHeight="1" x14ac:dyDescent="0.2">
      <c r="A43" s="431" t="s">
        <v>68</v>
      </c>
      <c r="B43" s="432"/>
      <c r="C43" s="432"/>
      <c r="D43" s="432"/>
      <c r="E43" s="432"/>
      <c r="F43" s="432"/>
      <c r="G43" s="432"/>
      <c r="H43" s="432"/>
    </row>
    <row r="44" spans="1:14" s="381" customFormat="1" ht="70.5" customHeight="1" x14ac:dyDescent="0.2">
      <c r="A44" s="378">
        <v>9</v>
      </c>
      <c r="B44" s="379" t="s">
        <v>122</v>
      </c>
      <c r="C44" s="363" t="s">
        <v>121</v>
      </c>
      <c r="D44" s="380"/>
      <c r="E44" s="380"/>
      <c r="F44" s="380"/>
      <c r="G44" s="364">
        <v>479.58600000000001</v>
      </c>
      <c r="H44" s="352">
        <f>SUM(D44:G44)</f>
        <v>479.58600000000001</v>
      </c>
      <c r="M44" s="382"/>
      <c r="N44" s="382"/>
    </row>
    <row r="45" spans="1:14" ht="17.25" customHeight="1" x14ac:dyDescent="0.2">
      <c r="A45" s="355"/>
      <c r="B45" s="356"/>
      <c r="C45" s="357" t="s">
        <v>108</v>
      </c>
      <c r="D45" s="358"/>
      <c r="E45" s="359"/>
      <c r="F45" s="359"/>
      <c r="G45" s="359">
        <f>SUM(G44)</f>
        <v>479.58600000000001</v>
      </c>
      <c r="H45" s="359">
        <f>SUM(H44)</f>
        <v>479.58600000000001</v>
      </c>
      <c r="J45" s="360">
        <f>D45</f>
        <v>0</v>
      </c>
    </row>
    <row r="46" spans="1:14" ht="13.5" customHeight="1" x14ac:dyDescent="0.2">
      <c r="A46" s="366"/>
      <c r="B46" s="367"/>
      <c r="C46" s="403" t="s">
        <v>109</v>
      </c>
      <c r="D46" s="364">
        <f>D42+D45</f>
        <v>8353.3970200035492</v>
      </c>
      <c r="E46" s="364"/>
      <c r="F46" s="364"/>
      <c r="G46" s="364">
        <f>G42+G45</f>
        <v>1321.3709352141789</v>
      </c>
      <c r="H46" s="364">
        <f>SUM(D46:G46)</f>
        <v>9674.7679552177287</v>
      </c>
      <c r="I46" s="368"/>
    </row>
    <row r="47" spans="1:14" x14ac:dyDescent="0.2">
      <c r="A47" s="431" t="s">
        <v>110</v>
      </c>
      <c r="B47" s="432"/>
      <c r="C47" s="432"/>
      <c r="D47" s="432"/>
      <c r="E47" s="432"/>
      <c r="F47" s="432"/>
      <c r="G47" s="432"/>
      <c r="H47" s="432"/>
    </row>
    <row r="48" spans="1:14" ht="25.5" x14ac:dyDescent="0.2">
      <c r="A48" s="372">
        <v>10</v>
      </c>
      <c r="B48" s="373" t="s">
        <v>111</v>
      </c>
      <c r="C48" s="350" t="s">
        <v>71</v>
      </c>
      <c r="D48" s="374">
        <f>D46*3%</f>
        <v>250.60191060010646</v>
      </c>
      <c r="E48" s="374"/>
      <c r="F48" s="374"/>
      <c r="G48" s="374">
        <f>G46*3%</f>
        <v>39.641128056425366</v>
      </c>
      <c r="H48" s="374">
        <f>SUM(D48:G48)</f>
        <v>290.24303865653184</v>
      </c>
      <c r="I48" s="377"/>
    </row>
    <row r="49" spans="1:9" x14ac:dyDescent="0.2">
      <c r="A49" s="355"/>
      <c r="B49" s="356"/>
      <c r="C49" s="357" t="s">
        <v>112</v>
      </c>
      <c r="D49" s="359">
        <f>D48</f>
        <v>250.60191060010646</v>
      </c>
      <c r="E49" s="359"/>
      <c r="F49" s="359"/>
      <c r="G49" s="358">
        <f>G48</f>
        <v>39.641128056425366</v>
      </c>
      <c r="H49" s="358">
        <f>SUM(D49:G49)</f>
        <v>290.24303865653184</v>
      </c>
    </row>
    <row r="50" spans="1:9" s="321" customFormat="1" x14ac:dyDescent="0.2">
      <c r="A50" s="408"/>
      <c r="B50" s="407"/>
      <c r="C50" s="402" t="s">
        <v>73</v>
      </c>
      <c r="D50" s="383">
        <f>D46+D49</f>
        <v>8603.998930603655</v>
      </c>
      <c r="E50" s="384">
        <f>E46+E49</f>
        <v>0</v>
      </c>
      <c r="F50" s="384">
        <f>F46+F49</f>
        <v>0</v>
      </c>
      <c r="G50" s="383">
        <f>G46+G49</f>
        <v>1361.0120632706041</v>
      </c>
      <c r="H50" s="383">
        <f>SUM(D50:G50)</f>
        <v>9965.0109938742589</v>
      </c>
    </row>
    <row r="51" spans="1:9" hidden="1" x14ac:dyDescent="0.2">
      <c r="A51" s="431" t="s">
        <v>113</v>
      </c>
      <c r="B51" s="432"/>
      <c r="C51" s="432"/>
      <c r="D51" s="432"/>
      <c r="E51" s="432"/>
      <c r="F51" s="432"/>
      <c r="G51" s="432"/>
      <c r="H51" s="432"/>
    </row>
    <row r="52" spans="1:9" ht="25.9" hidden="1" customHeight="1" x14ac:dyDescent="0.2">
      <c r="A52" s="361">
        <v>10</v>
      </c>
      <c r="B52" s="362" t="s">
        <v>114</v>
      </c>
      <c r="C52" s="403" t="s">
        <v>115</v>
      </c>
      <c r="D52" s="364">
        <f>D50*0.2</f>
        <v>1720.7997861207311</v>
      </c>
      <c r="E52" s="365"/>
      <c r="F52" s="365"/>
      <c r="G52" s="364">
        <f>G50*0.2</f>
        <v>272.20241265412085</v>
      </c>
      <c r="H52" s="364">
        <f>SUM(D52:G52)</f>
        <v>1993.0021987748519</v>
      </c>
    </row>
    <row r="53" spans="1:9" ht="25.9" hidden="1" customHeight="1" x14ac:dyDescent="0.2">
      <c r="A53" s="366"/>
      <c r="B53" s="367"/>
      <c r="C53" s="403" t="s">
        <v>116</v>
      </c>
      <c r="D53" s="364">
        <f>D52</f>
        <v>1720.7997861207311</v>
      </c>
      <c r="E53" s="365"/>
      <c r="F53" s="365"/>
      <c r="G53" s="364">
        <f>G52</f>
        <v>272.20241265412085</v>
      </c>
      <c r="H53" s="364">
        <f>SUM(D53:G53)</f>
        <v>1993.0021987748519</v>
      </c>
    </row>
    <row r="54" spans="1:9" ht="12.75" hidden="1" customHeight="1" x14ac:dyDescent="0.2">
      <c r="A54" s="366"/>
      <c r="B54" s="433" t="s">
        <v>117</v>
      </c>
      <c r="C54" s="432"/>
      <c r="D54" s="383">
        <f>D50+D52</f>
        <v>10324.798716724386</v>
      </c>
      <c r="E54" s="384">
        <f>E50+E52</f>
        <v>0</v>
      </c>
      <c r="F54" s="384">
        <f>F50+F52</f>
        <v>0</v>
      </c>
      <c r="G54" s="383">
        <f>G50+G52</f>
        <v>1633.2144759247249</v>
      </c>
      <c r="H54" s="383">
        <f>SUM(D54:G54)</f>
        <v>11958.013192649112</v>
      </c>
      <c r="I54" s="368"/>
    </row>
    <row r="55" spans="1:9" ht="12.75" customHeight="1" x14ac:dyDescent="0.2">
      <c r="A55" s="431" t="s">
        <v>113</v>
      </c>
      <c r="B55" s="432"/>
      <c r="C55" s="432"/>
      <c r="D55" s="432"/>
      <c r="E55" s="432"/>
      <c r="F55" s="432"/>
      <c r="G55" s="432"/>
      <c r="H55" s="432"/>
      <c r="I55" s="368"/>
    </row>
    <row r="56" spans="1:9" ht="12.75" customHeight="1" x14ac:dyDescent="0.2">
      <c r="A56" s="361">
        <v>11</v>
      </c>
      <c r="B56" s="362" t="s">
        <v>114</v>
      </c>
      <c r="C56" s="403" t="s">
        <v>115</v>
      </c>
      <c r="D56" s="364">
        <f>D50*20%</f>
        <v>1720.7997861207311</v>
      </c>
      <c r="E56" s="365">
        <f>E50*20%</f>
        <v>0</v>
      </c>
      <c r="F56" s="365">
        <f>F50*20%</f>
        <v>0</v>
      </c>
      <c r="G56" s="364">
        <f>G50*20%</f>
        <v>272.20241265412085</v>
      </c>
      <c r="H56" s="364">
        <f>SUM(D56:G56)</f>
        <v>1993.0021987748519</v>
      </c>
      <c r="I56" s="368"/>
    </row>
    <row r="57" spans="1:9" x14ac:dyDescent="0.2">
      <c r="A57" s="366"/>
      <c r="B57" s="367"/>
      <c r="C57" s="403" t="s">
        <v>116</v>
      </c>
      <c r="D57" s="364">
        <f>D56</f>
        <v>1720.7997861207311</v>
      </c>
      <c r="E57" s="365">
        <f>E56</f>
        <v>0</v>
      </c>
      <c r="F57" s="365">
        <f>F56</f>
        <v>0</v>
      </c>
      <c r="G57" s="364">
        <f>G56</f>
        <v>272.20241265412085</v>
      </c>
      <c r="H57" s="364">
        <f>SUM(D57:G57)</f>
        <v>1993.0021987748519</v>
      </c>
    </row>
    <row r="58" spans="1:9" x14ac:dyDescent="0.2">
      <c r="A58" s="366"/>
      <c r="B58" s="433" t="s">
        <v>117</v>
      </c>
      <c r="C58" s="432"/>
      <c r="D58" s="383">
        <f>D50+D56</f>
        <v>10324.798716724386</v>
      </c>
      <c r="E58" s="384">
        <f>E50+E56</f>
        <v>0</v>
      </c>
      <c r="F58" s="384">
        <f>F50+F56</f>
        <v>0</v>
      </c>
      <c r="G58" s="383">
        <f>G50+G56</f>
        <v>1633.2144759247249</v>
      </c>
      <c r="H58" s="383">
        <f>SUM(D58:G58)</f>
        <v>11958.013192649112</v>
      </c>
    </row>
    <row r="59" spans="1:9" ht="13.5" x14ac:dyDescent="0.2">
      <c r="A59" s="385"/>
      <c r="B59" s="386"/>
      <c r="C59" s="387"/>
      <c r="D59" s="388"/>
      <c r="E59" s="389"/>
      <c r="F59" s="389"/>
      <c r="G59" s="388"/>
      <c r="H59" s="388"/>
    </row>
    <row r="60" spans="1:9" ht="21" customHeight="1" x14ac:dyDescent="0.2">
      <c r="A60" s="434" t="s">
        <v>118</v>
      </c>
      <c r="B60" s="430"/>
      <c r="C60" s="430"/>
      <c r="D60" s="430"/>
      <c r="E60" s="430"/>
      <c r="F60" s="430"/>
      <c r="G60" s="430"/>
      <c r="H60" s="430"/>
    </row>
    <row r="61" spans="1:9" x14ac:dyDescent="0.2">
      <c r="A61" s="429" t="s">
        <v>119</v>
      </c>
      <c r="B61" s="430"/>
      <c r="C61" s="430"/>
      <c r="D61" s="430"/>
      <c r="E61" s="430"/>
      <c r="F61" s="430"/>
      <c r="G61" s="430"/>
      <c r="H61" s="430"/>
    </row>
    <row r="62" spans="1:9" ht="15.6" customHeight="1" x14ac:dyDescent="0.2">
      <c r="A62" s="390"/>
      <c r="B62" s="337"/>
      <c r="C62" s="338"/>
      <c r="D62" s="340"/>
      <c r="E62" s="340"/>
      <c r="F62" s="340"/>
      <c r="G62" s="340"/>
      <c r="H62" s="340"/>
    </row>
    <row r="63" spans="1:9" ht="15.6" customHeight="1" x14ac:dyDescent="0.2">
      <c r="A63" s="434" t="s">
        <v>120</v>
      </c>
      <c r="B63" s="430"/>
      <c r="C63" s="430"/>
      <c r="D63" s="430"/>
      <c r="E63" s="430"/>
      <c r="F63" s="430"/>
      <c r="G63" s="430"/>
      <c r="H63" s="430"/>
    </row>
    <row r="64" spans="1:9" ht="15.6" customHeight="1" x14ac:dyDescent="0.2">
      <c r="A64" s="429" t="s">
        <v>119</v>
      </c>
      <c r="B64" s="430"/>
      <c r="C64" s="430"/>
      <c r="D64" s="430"/>
      <c r="E64" s="430"/>
      <c r="F64" s="430"/>
      <c r="G64" s="430"/>
      <c r="H64" s="430"/>
    </row>
  </sheetData>
  <mergeCells count="38">
    <mergeCell ref="A63:H63"/>
    <mergeCell ref="A64:H64"/>
    <mergeCell ref="A55:H55"/>
    <mergeCell ref="B58:C58"/>
    <mergeCell ref="A43:H43"/>
    <mergeCell ref="A47:H47"/>
    <mergeCell ref="A51:H51"/>
    <mergeCell ref="B54:C54"/>
    <mergeCell ref="A60:H60"/>
    <mergeCell ref="A61:H61"/>
    <mergeCell ref="A21:H21"/>
    <mergeCell ref="A24:H24"/>
    <mergeCell ref="A28:H28"/>
    <mergeCell ref="A32:H32"/>
    <mergeCell ref="A38:H38"/>
    <mergeCell ref="A11:H11"/>
    <mergeCell ref="A12:H12"/>
    <mergeCell ref="A13:H13"/>
    <mergeCell ref="A16:A19"/>
    <mergeCell ref="B16:B19"/>
    <mergeCell ref="C16:C19"/>
    <mergeCell ref="D16:G16"/>
    <mergeCell ref="H16:H19"/>
    <mergeCell ref="D17:D19"/>
    <mergeCell ref="E17:E19"/>
    <mergeCell ref="F17:F19"/>
    <mergeCell ref="G17:G19"/>
    <mergeCell ref="A6:D6"/>
    <mergeCell ref="E6:H6"/>
    <mergeCell ref="A8:C8"/>
    <mergeCell ref="E8:F8"/>
    <mergeCell ref="A9:H9"/>
    <mergeCell ref="C1:H1"/>
    <mergeCell ref="A3:C3"/>
    <mergeCell ref="E3:H3"/>
    <mergeCell ref="A4:C4"/>
    <mergeCell ref="A5:D5"/>
    <mergeCell ref="E5:H5"/>
  </mergeCells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tabSelected="1" view="pageBreakPreview" topLeftCell="A6" zoomScaleNormal="110" zoomScaleSheetLayoutView="100" workbookViewId="0">
      <pane xSplit="3" ySplit="3" topLeftCell="D9" activePane="bottomRight" state="frozen"/>
      <selection activeCell="A6" sqref="A6"/>
      <selection pane="topRight" activeCell="D6" sqref="D6"/>
      <selection pane="bottomLeft" activeCell="A9" sqref="A9"/>
      <selection pane="bottomRight" activeCell="N14" sqref="N14"/>
    </sheetView>
  </sheetViews>
  <sheetFormatPr defaultRowHeight="15" x14ac:dyDescent="0.25"/>
  <cols>
    <col min="2" max="2" width="16.7109375" customWidth="1"/>
    <col min="3" max="3" width="32.7109375" customWidth="1"/>
    <col min="4" max="4" width="9.5703125" bestFit="1" customWidth="1"/>
    <col min="8" max="8" width="10.42578125" bestFit="1" customWidth="1"/>
    <col min="13" max="13" width="11.42578125" customWidth="1"/>
    <col min="20" max="20" width="15.5703125" customWidth="1"/>
  </cols>
  <sheetData>
    <row r="1" spans="1:18" x14ac:dyDescent="0.25">
      <c r="A1" s="37"/>
      <c r="B1" s="38"/>
      <c r="C1" s="38"/>
      <c r="D1" s="38"/>
      <c r="E1" s="38"/>
      <c r="F1" s="38"/>
      <c r="G1" s="38"/>
      <c r="H1" s="38"/>
      <c r="I1" s="5"/>
      <c r="J1" s="5"/>
      <c r="K1" s="5"/>
      <c r="L1" s="5"/>
      <c r="M1" s="5"/>
      <c r="N1" s="463" t="s">
        <v>20</v>
      </c>
      <c r="O1" s="490"/>
      <c r="P1" s="490"/>
      <c r="Q1" s="490"/>
      <c r="R1" s="490"/>
    </row>
    <row r="2" spans="1:18" x14ac:dyDescent="0.25">
      <c r="A2" s="491" t="s">
        <v>128</v>
      </c>
      <c r="B2" s="491"/>
      <c r="C2" s="491"/>
      <c r="D2" s="491"/>
      <c r="E2" s="491"/>
      <c r="F2" s="491"/>
      <c r="G2" s="491"/>
      <c r="H2" s="491"/>
      <c r="I2" s="491"/>
      <c r="J2" s="491"/>
      <c r="K2" s="491"/>
      <c r="L2" s="491"/>
      <c r="M2" s="491"/>
      <c r="N2" s="492" t="s">
        <v>132</v>
      </c>
      <c r="O2" s="492"/>
      <c r="P2" s="492"/>
      <c r="Q2" s="492"/>
      <c r="R2" s="492"/>
    </row>
    <row r="3" spans="1:18" x14ac:dyDescent="0.25">
      <c r="A3" s="491"/>
      <c r="B3" s="491"/>
      <c r="C3" s="491"/>
      <c r="D3" s="491"/>
      <c r="E3" s="491"/>
      <c r="F3" s="491"/>
      <c r="G3" s="491"/>
      <c r="H3" s="491"/>
      <c r="I3" s="491"/>
      <c r="J3" s="491"/>
      <c r="K3" s="491"/>
      <c r="L3" s="491"/>
      <c r="M3" s="491"/>
      <c r="N3" s="492"/>
      <c r="O3" s="492"/>
      <c r="P3" s="492"/>
      <c r="Q3" s="492"/>
      <c r="R3" s="492"/>
    </row>
    <row r="4" spans="1:18" ht="90" customHeight="1" x14ac:dyDescent="0.25">
      <c r="A4" s="491"/>
      <c r="B4" s="491"/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2"/>
      <c r="O4" s="492"/>
      <c r="P4" s="492"/>
      <c r="Q4" s="492"/>
      <c r="R4" s="492"/>
    </row>
    <row r="5" spans="1:18" ht="39.75" customHeight="1" x14ac:dyDescent="0.25">
      <c r="A5" s="493"/>
      <c r="B5" s="493"/>
      <c r="C5" s="493"/>
      <c r="D5" s="493"/>
      <c r="E5" s="493"/>
      <c r="F5" s="493"/>
      <c r="G5" s="493"/>
      <c r="H5" s="493"/>
      <c r="I5" s="493"/>
      <c r="J5" s="493"/>
      <c r="K5" s="493"/>
      <c r="L5" s="493"/>
      <c r="M5" s="493"/>
      <c r="N5" s="461"/>
      <c r="O5" s="490"/>
      <c r="P5" s="490"/>
      <c r="Q5" s="490"/>
      <c r="R5" s="490"/>
    </row>
    <row r="6" spans="1:18" ht="15.75" thickBot="1" x14ac:dyDescent="0.3">
      <c r="A6" s="494"/>
      <c r="B6" s="495"/>
      <c r="C6" s="495"/>
      <c r="D6" s="495"/>
      <c r="E6" s="495"/>
      <c r="F6" s="495"/>
      <c r="G6" s="495"/>
      <c r="H6" s="495"/>
      <c r="I6" s="6"/>
      <c r="J6" s="83"/>
      <c r="K6" s="6"/>
      <c r="L6" s="6"/>
      <c r="M6" s="6"/>
      <c r="N6" s="1"/>
      <c r="O6" s="1"/>
      <c r="P6" s="1"/>
      <c r="Q6" s="1"/>
      <c r="R6" s="1"/>
    </row>
    <row r="7" spans="1:18" ht="58.5" customHeight="1" thickBot="1" x14ac:dyDescent="0.3">
      <c r="A7" s="496" t="s">
        <v>17</v>
      </c>
      <c r="B7" s="498" t="s">
        <v>6</v>
      </c>
      <c r="C7" s="500" t="s">
        <v>7</v>
      </c>
      <c r="D7" s="502" t="s">
        <v>53</v>
      </c>
      <c r="E7" s="503"/>
      <c r="F7" s="503"/>
      <c r="G7" s="503"/>
      <c r="H7" s="504"/>
      <c r="I7" s="505" t="s">
        <v>25</v>
      </c>
      <c r="J7" s="506"/>
      <c r="K7" s="506"/>
      <c r="L7" s="506"/>
      <c r="M7" s="507"/>
      <c r="N7" s="489" t="s">
        <v>133</v>
      </c>
      <c r="O7" s="489"/>
      <c r="P7" s="489"/>
      <c r="Q7" s="489"/>
      <c r="R7" s="489"/>
    </row>
    <row r="8" spans="1:18" ht="45.75" thickBot="1" x14ac:dyDescent="0.3">
      <c r="A8" s="497"/>
      <c r="B8" s="499"/>
      <c r="C8" s="501"/>
      <c r="D8" s="19" t="s">
        <v>0</v>
      </c>
      <c r="E8" s="20" t="s">
        <v>1</v>
      </c>
      <c r="F8" s="20" t="s">
        <v>2</v>
      </c>
      <c r="G8" s="29" t="s">
        <v>3</v>
      </c>
      <c r="H8" s="28" t="s">
        <v>8</v>
      </c>
      <c r="I8" s="21" t="s">
        <v>0</v>
      </c>
      <c r="J8" s="22" t="s">
        <v>1</v>
      </c>
      <c r="K8" s="22" t="s">
        <v>2</v>
      </c>
      <c r="L8" s="23" t="s">
        <v>3</v>
      </c>
      <c r="M8" s="34" t="s">
        <v>8</v>
      </c>
      <c r="N8" s="21" t="s">
        <v>0</v>
      </c>
      <c r="O8" s="22" t="s">
        <v>1</v>
      </c>
      <c r="P8" s="22" t="s">
        <v>2</v>
      </c>
      <c r="Q8" s="23" t="s">
        <v>3</v>
      </c>
      <c r="R8" s="39" t="s">
        <v>8</v>
      </c>
    </row>
    <row r="9" spans="1:18" ht="15.75" thickBot="1" x14ac:dyDescent="0.3">
      <c r="A9" s="188">
        <v>1</v>
      </c>
      <c r="B9" s="189">
        <v>2</v>
      </c>
      <c r="C9" s="190">
        <v>3</v>
      </c>
      <c r="D9" s="16">
        <v>4</v>
      </c>
      <c r="E9" s="17">
        <v>5</v>
      </c>
      <c r="F9" s="17">
        <v>6</v>
      </c>
      <c r="G9" s="18">
        <v>7</v>
      </c>
      <c r="H9" s="30">
        <v>8</v>
      </c>
      <c r="I9" s="31">
        <v>9</v>
      </c>
      <c r="J9" s="32">
        <v>10</v>
      </c>
      <c r="K9" s="32">
        <v>11</v>
      </c>
      <c r="L9" s="33">
        <v>12</v>
      </c>
      <c r="M9" s="35">
        <v>13</v>
      </c>
      <c r="N9" s="31">
        <v>14</v>
      </c>
      <c r="O9" s="32">
        <v>15</v>
      </c>
      <c r="P9" s="32">
        <v>16</v>
      </c>
      <c r="Q9" s="33">
        <v>17</v>
      </c>
      <c r="R9" s="35">
        <v>18</v>
      </c>
    </row>
    <row r="10" spans="1:18" x14ac:dyDescent="0.25">
      <c r="A10" s="469" t="s">
        <v>31</v>
      </c>
      <c r="B10" s="470"/>
      <c r="C10" s="470"/>
      <c r="D10" s="9"/>
      <c r="E10" s="9"/>
      <c r="F10" s="9"/>
      <c r="G10" s="9"/>
      <c r="H10" s="10"/>
      <c r="I10" s="114"/>
      <c r="J10" s="9"/>
      <c r="K10" s="9"/>
      <c r="L10" s="9"/>
      <c r="M10" s="9"/>
      <c r="N10" s="113"/>
      <c r="O10" s="114"/>
      <c r="P10" s="114"/>
      <c r="Q10" s="114"/>
      <c r="R10" s="115"/>
    </row>
    <row r="11" spans="1:18" x14ac:dyDescent="0.25">
      <c r="A11" s="297">
        <v>1</v>
      </c>
      <c r="B11" s="184"/>
      <c r="C11" s="163" t="s">
        <v>37</v>
      </c>
      <c r="D11" s="283"/>
      <c r="E11" s="284"/>
      <c r="F11" s="284"/>
      <c r="G11" s="284"/>
      <c r="H11" s="285"/>
      <c r="I11" s="283"/>
      <c r="J11" s="284"/>
      <c r="K11" s="284"/>
      <c r="L11" s="284"/>
      <c r="M11" s="285"/>
      <c r="N11" s="283"/>
      <c r="O11" s="284"/>
      <c r="P11" s="284"/>
      <c r="Q11" s="286"/>
      <c r="R11" s="287"/>
    </row>
    <row r="12" spans="1:18" x14ac:dyDescent="0.25">
      <c r="A12" s="123"/>
      <c r="B12" s="293"/>
      <c r="C12" s="124" t="s">
        <v>38</v>
      </c>
      <c r="D12" s="144">
        <f>D11</f>
        <v>0</v>
      </c>
      <c r="E12" s="139">
        <f>E11</f>
        <v>0</v>
      </c>
      <c r="F12" s="139">
        <f>F11</f>
        <v>0</v>
      </c>
      <c r="G12" s="139">
        <f>+G15</f>
        <v>0</v>
      </c>
      <c r="H12" s="140">
        <f>D12+E12+F12+G12</f>
        <v>0</v>
      </c>
      <c r="I12" s="144">
        <f>I11</f>
        <v>0</v>
      </c>
      <c r="J12" s="139">
        <f>J11</f>
        <v>0</v>
      </c>
      <c r="K12" s="139">
        <f>K11</f>
        <v>0</v>
      </c>
      <c r="L12" s="139">
        <f>L11</f>
        <v>0</v>
      </c>
      <c r="M12" s="143">
        <f>I12+J12+K12+L12</f>
        <v>0</v>
      </c>
      <c r="N12" s="144">
        <f>SUM(I12*6.02)</f>
        <v>0</v>
      </c>
      <c r="O12" s="139">
        <f>SUM(J12*6.02)</f>
        <v>0</v>
      </c>
      <c r="P12" s="139">
        <f>SUM(K12*4.44)</f>
        <v>0</v>
      </c>
      <c r="Q12" s="139">
        <f>SUM(L12*8.74)</f>
        <v>0</v>
      </c>
      <c r="R12" s="140">
        <f>SUM(N12:Q12)</f>
        <v>0</v>
      </c>
    </row>
    <row r="13" spans="1:18" x14ac:dyDescent="0.25">
      <c r="A13" s="471" t="s">
        <v>54</v>
      </c>
      <c r="B13" s="472"/>
      <c r="C13" s="473"/>
      <c r="D13" s="137"/>
      <c r="E13" s="138"/>
      <c r="F13" s="138"/>
      <c r="G13" s="138"/>
      <c r="H13" s="145"/>
      <c r="I13" s="141"/>
      <c r="J13" s="142"/>
      <c r="K13" s="142"/>
      <c r="L13" s="142"/>
      <c r="M13" s="146"/>
      <c r="N13" s="147"/>
      <c r="O13" s="148"/>
      <c r="P13" s="148"/>
      <c r="Q13" s="148"/>
      <c r="R13" s="149"/>
    </row>
    <row r="14" spans="1:18" ht="63.75" customHeight="1" x14ac:dyDescent="0.25">
      <c r="A14" s="180">
        <v>2</v>
      </c>
      <c r="B14" s="186" t="s">
        <v>55</v>
      </c>
      <c r="C14" s="207" t="s">
        <v>130</v>
      </c>
      <c r="D14" s="263">
        <f>I14*5.35</f>
        <v>8023.7992459999996</v>
      </c>
      <c r="E14" s="263">
        <f>SUM(J14*7.97)</f>
        <v>0</v>
      </c>
      <c r="F14" s="263">
        <f>SUM(K14*4.65)</f>
        <v>0</v>
      </c>
      <c r="G14" s="43">
        <f>SUM(L14*9.19)</f>
        <v>0</v>
      </c>
      <c r="H14" s="43">
        <f>SUM(D14:G14)</f>
        <v>8023.7992459999996</v>
      </c>
      <c r="I14" s="181">
        <v>1499.77556</v>
      </c>
      <c r="J14" s="182">
        <v>0</v>
      </c>
      <c r="K14" s="182">
        <v>0</v>
      </c>
      <c r="L14" s="183">
        <v>0</v>
      </c>
      <c r="M14" s="182">
        <f>SUM(I14:L14)</f>
        <v>1499.77556</v>
      </c>
      <c r="N14" s="42">
        <f>SUM(I14*5.08)</f>
        <v>7618.8598448000002</v>
      </c>
      <c r="O14" s="43">
        <f>SUM(J14*6.02)</f>
        <v>0</v>
      </c>
      <c r="P14" s="43">
        <f>SUM(K14*4.44)</f>
        <v>0</v>
      </c>
      <c r="Q14" s="44">
        <f>SUM(L14*8.74)</f>
        <v>0</v>
      </c>
      <c r="R14" s="45">
        <f>SUM(N14:Q14)</f>
        <v>7618.8598448000002</v>
      </c>
    </row>
    <row r="15" spans="1:18" ht="15.75" thickBot="1" x14ac:dyDescent="0.3">
      <c r="A15" s="152"/>
      <c r="B15" s="125" t="s">
        <v>16</v>
      </c>
      <c r="C15" s="124" t="s">
        <v>56</v>
      </c>
      <c r="D15" s="69">
        <f>SUM(D14)</f>
        <v>8023.7992459999996</v>
      </c>
      <c r="E15" s="65">
        <f>SUM(E14)</f>
        <v>0</v>
      </c>
      <c r="F15" s="65">
        <f>SUM(F14)</f>
        <v>0</v>
      </c>
      <c r="G15" s="117">
        <f>SUM(G14)</f>
        <v>0</v>
      </c>
      <c r="H15" s="264">
        <f>SUM(D15:G15)</f>
        <v>8023.7992459999996</v>
      </c>
      <c r="I15" s="69">
        <f>SUM(I14)</f>
        <v>1499.77556</v>
      </c>
      <c r="J15" s="65">
        <f>SUM(J14)</f>
        <v>0</v>
      </c>
      <c r="K15" s="65">
        <f>SUM(K14)</f>
        <v>0</v>
      </c>
      <c r="L15" s="117">
        <f>SUM(L14)</f>
        <v>0</v>
      </c>
      <c r="M15" s="265">
        <f>SUM(I15:L15)</f>
        <v>1499.77556</v>
      </c>
      <c r="N15" s="69">
        <f>SUM(N14:N14)</f>
        <v>7618.8598448000002</v>
      </c>
      <c r="O15" s="65">
        <f>SUM(O14:O14)</f>
        <v>0</v>
      </c>
      <c r="P15" s="65">
        <f>SUM(P14:P14)</f>
        <v>0</v>
      </c>
      <c r="Q15" s="117">
        <f>SUM(Q14:Q14)</f>
        <v>0</v>
      </c>
      <c r="R15" s="264">
        <f>ROUNDDOWN(SUM(N15:Q15),3)</f>
        <v>7618.8590000000004</v>
      </c>
    </row>
    <row r="16" spans="1:18" ht="15.75" thickBot="1" x14ac:dyDescent="0.3">
      <c r="C16" s="298" t="s">
        <v>57</v>
      </c>
      <c r="D16" s="299">
        <f>SUM(D15+D12)</f>
        <v>8023.7992459999996</v>
      </c>
      <c r="E16" s="299">
        <f>SUM(E15+E12)</f>
        <v>0</v>
      </c>
      <c r="F16" s="299">
        <f>SUM(F15+F12)</f>
        <v>0</v>
      </c>
      <c r="G16" s="299">
        <f>SUM(G15+G12)</f>
        <v>0</v>
      </c>
      <c r="H16" s="299">
        <f>SUM(D16:G16)</f>
        <v>8023.7992459999996</v>
      </c>
      <c r="I16" s="300">
        <f>SUM(I15+I12)</f>
        <v>1499.77556</v>
      </c>
      <c r="J16" s="301">
        <f>SUM(J15+J12)</f>
        <v>0</v>
      </c>
      <c r="K16" s="301">
        <f>SUM(K15+K12)</f>
        <v>0</v>
      </c>
      <c r="L16" s="301">
        <f>SUM(L15+L12)</f>
        <v>0</v>
      </c>
      <c r="M16" s="301">
        <f>SUM(I16:L16)</f>
        <v>1499.77556</v>
      </c>
      <c r="N16" s="301">
        <f>SUM(N15+N12)</f>
        <v>7618.8598448000002</v>
      </c>
      <c r="O16" s="300">
        <f>SUM(O15+O12)</f>
        <v>0</v>
      </c>
      <c r="P16" s="300">
        <f>SUM(P15+P12)</f>
        <v>0</v>
      </c>
      <c r="Q16" s="300">
        <f>SUM(Q15+Q12)</f>
        <v>0</v>
      </c>
      <c r="R16" s="301">
        <f>SUM(N16:Q16)</f>
        <v>7618.8598448000002</v>
      </c>
    </row>
    <row r="17" spans="1:18" ht="15.75" thickBot="1" x14ac:dyDescent="0.3">
      <c r="A17" s="474" t="s">
        <v>21</v>
      </c>
      <c r="B17" s="475"/>
      <c r="C17" s="476"/>
      <c r="D17" s="270"/>
      <c r="E17" s="270"/>
      <c r="F17" s="270"/>
      <c r="G17" s="302"/>
      <c r="H17" s="271"/>
      <c r="I17" s="272"/>
      <c r="J17" s="270"/>
      <c r="K17" s="270"/>
      <c r="L17" s="270"/>
      <c r="M17" s="271"/>
      <c r="N17" s="272"/>
      <c r="O17" s="270"/>
      <c r="P17" s="270"/>
      <c r="Q17" s="270"/>
      <c r="R17" s="273"/>
    </row>
    <row r="18" spans="1:18" ht="42" customHeight="1" x14ac:dyDescent="0.25">
      <c r="A18" s="194">
        <v>3</v>
      </c>
      <c r="B18" s="195" t="s">
        <v>58</v>
      </c>
      <c r="C18" s="196" t="s">
        <v>59</v>
      </c>
      <c r="D18" s="197">
        <f>D16*2.64%</f>
        <v>211.82830009439999</v>
      </c>
      <c r="E18" s="198">
        <f>E16*2.64%</f>
        <v>0</v>
      </c>
      <c r="F18" s="198">
        <f>F16*2.64%</f>
        <v>0</v>
      </c>
      <c r="G18" s="197">
        <f>G16*2.64%</f>
        <v>0</v>
      </c>
      <c r="H18" s="199">
        <f>SUM(D18:G18)</f>
        <v>211.82830009439999</v>
      </c>
      <c r="I18" s="200">
        <f>I16*2.64%</f>
        <v>39.594074784</v>
      </c>
      <c r="J18" s="198">
        <f>J16*2.64%</f>
        <v>0</v>
      </c>
      <c r="K18" s="198">
        <f>K16*2.64%</f>
        <v>0</v>
      </c>
      <c r="L18" s="197">
        <f>L16*2.64%</f>
        <v>0</v>
      </c>
      <c r="M18" s="199">
        <f>SUM(I18:L18)</f>
        <v>39.594074784</v>
      </c>
      <c r="N18" s="200">
        <f>N16*2.64%</f>
        <v>201.13789990271999</v>
      </c>
      <c r="O18" s="198">
        <f>O16*2.64%</f>
        <v>0</v>
      </c>
      <c r="P18" s="198">
        <f>P16*2.64%</f>
        <v>0</v>
      </c>
      <c r="Q18" s="197">
        <f>Q16*2.64%</f>
        <v>0</v>
      </c>
      <c r="R18" s="201">
        <f>SUM(N18:Q18)</f>
        <v>201.13789990271999</v>
      </c>
    </row>
    <row r="19" spans="1:18" ht="15.75" thickBot="1" x14ac:dyDescent="0.3">
      <c r="A19" s="152"/>
      <c r="B19" s="125" t="s">
        <v>16</v>
      </c>
      <c r="C19" s="124" t="s">
        <v>22</v>
      </c>
      <c r="D19" s="269">
        <f>SUM(D18)</f>
        <v>211.82830009439999</v>
      </c>
      <c r="E19" s="65">
        <f>SUM(E18)</f>
        <v>0</v>
      </c>
      <c r="F19" s="65">
        <f>SUM(F18)</f>
        <v>0</v>
      </c>
      <c r="G19" s="116">
        <f>SUM(G18)</f>
        <v>0</v>
      </c>
      <c r="H19" s="264">
        <f>SUM(D19:G19)</f>
        <v>211.82830009439999</v>
      </c>
      <c r="I19" s="269">
        <f>SUM(I18)</f>
        <v>39.594074784</v>
      </c>
      <c r="J19" s="65">
        <f>SUM(J18)</f>
        <v>0</v>
      </c>
      <c r="K19" s="65">
        <f>SUM(K18)</f>
        <v>0</v>
      </c>
      <c r="L19" s="116">
        <f>SUM(L18)</f>
        <v>0</v>
      </c>
      <c r="M19" s="264">
        <f>SUM(I19:L19)</f>
        <v>39.594074784</v>
      </c>
      <c r="N19" s="269">
        <f>SUM(N18:N18)</f>
        <v>201.13789990271999</v>
      </c>
      <c r="O19" s="65">
        <f>SUM(O18:O18)</f>
        <v>0</v>
      </c>
      <c r="P19" s="65">
        <f>P18</f>
        <v>0</v>
      </c>
      <c r="Q19" s="116">
        <f>Q18</f>
        <v>0</v>
      </c>
      <c r="R19" s="264">
        <f>SUM(N19:Q19)</f>
        <v>201.13789990271999</v>
      </c>
    </row>
    <row r="20" spans="1:18" ht="15.75" thickBot="1" x14ac:dyDescent="0.3">
      <c r="A20" s="303"/>
      <c r="B20" s="304"/>
      <c r="C20" s="305" t="s">
        <v>60</v>
      </c>
      <c r="D20" s="306">
        <f>ROUNDDOWN(SUM(D16+D19),3)</f>
        <v>8235.6270000000004</v>
      </c>
      <c r="E20" s="307">
        <f>SUM(E16+E19)</f>
        <v>0</v>
      </c>
      <c r="F20" s="307">
        <f>SUM(F16+F19)</f>
        <v>0</v>
      </c>
      <c r="G20" s="306">
        <f>SUM(G16+G19)</f>
        <v>0</v>
      </c>
      <c r="H20" s="308">
        <f>SUM(D20:G20)</f>
        <v>8235.6270000000004</v>
      </c>
      <c r="I20" s="306">
        <f>SUM(I16+I19)</f>
        <v>1539.369634784</v>
      </c>
      <c r="J20" s="307">
        <f>SUM(J16+J19)</f>
        <v>0</v>
      </c>
      <c r="K20" s="307">
        <f>SUM(K16+K19)</f>
        <v>0</v>
      </c>
      <c r="L20" s="306">
        <f>SUM(L16+L19)</f>
        <v>0</v>
      </c>
      <c r="M20" s="308">
        <f>SUM(I20:L20)</f>
        <v>1539.369634784</v>
      </c>
      <c r="N20" s="306">
        <f>SUM(N16+N19)</f>
        <v>7819.9977447027204</v>
      </c>
      <c r="O20" s="307">
        <f>SUM(O16+O19)</f>
        <v>0</v>
      </c>
      <c r="P20" s="307">
        <f>SUM(P16+P19)</f>
        <v>0</v>
      </c>
      <c r="Q20" s="306">
        <f>SUM(Q16+Q19)</f>
        <v>0</v>
      </c>
      <c r="R20" s="309">
        <f>SUM(N20:Q20)</f>
        <v>7819.9977447027204</v>
      </c>
    </row>
    <row r="21" spans="1:18" ht="15.75" thickBot="1" x14ac:dyDescent="0.3">
      <c r="A21" s="477" t="s">
        <v>9</v>
      </c>
      <c r="B21" s="475"/>
      <c r="C21" s="476"/>
      <c r="D21" s="270"/>
      <c r="E21" s="270"/>
      <c r="F21" s="270"/>
      <c r="G21" s="270"/>
      <c r="H21" s="270"/>
      <c r="I21" s="272"/>
      <c r="J21" s="270"/>
      <c r="K21" s="270"/>
      <c r="L21" s="270"/>
      <c r="M21" s="270"/>
      <c r="N21" s="272"/>
      <c r="O21" s="270"/>
      <c r="P21" s="270"/>
      <c r="Q21" s="270"/>
      <c r="R21" s="274"/>
    </row>
    <row r="22" spans="1:18" ht="36.75" customHeight="1" x14ac:dyDescent="0.25">
      <c r="A22" s="152">
        <v>4</v>
      </c>
      <c r="B22" s="164" t="s">
        <v>51</v>
      </c>
      <c r="C22" s="126" t="s">
        <v>61</v>
      </c>
      <c r="D22" s="116">
        <f>D20*1.43%</f>
        <v>117.7694661</v>
      </c>
      <c r="E22" s="60">
        <f>E20*1.43%</f>
        <v>0</v>
      </c>
      <c r="F22" s="60"/>
      <c r="G22" s="62"/>
      <c r="H22" s="72">
        <f>SUM(D22:G22)</f>
        <v>117.7694661</v>
      </c>
      <c r="I22" s="59">
        <f>I20*1.43%</f>
        <v>22.012985777411199</v>
      </c>
      <c r="J22" s="60">
        <f>J20*1.43%</f>
        <v>0</v>
      </c>
      <c r="K22" s="60"/>
      <c r="L22" s="62"/>
      <c r="M22" s="72">
        <f>SUM(I22:L22)</f>
        <v>22.012985777411199</v>
      </c>
      <c r="N22" s="59">
        <f>N20*1.43%</f>
        <v>111.8259677492489</v>
      </c>
      <c r="O22" s="60">
        <f>O20*1.43%</f>
        <v>0</v>
      </c>
      <c r="P22" s="60"/>
      <c r="Q22" s="62"/>
      <c r="R22" s="73">
        <f>SUM(N22:Q22)</f>
        <v>111.8259677492489</v>
      </c>
    </row>
    <row r="23" spans="1:18" ht="54.75" customHeight="1" x14ac:dyDescent="0.25">
      <c r="A23" s="152">
        <v>4</v>
      </c>
      <c r="B23" s="310" t="s">
        <v>62</v>
      </c>
      <c r="C23" s="311" t="s">
        <v>63</v>
      </c>
      <c r="D23" s="116"/>
      <c r="E23" s="62"/>
      <c r="F23" s="62"/>
      <c r="G23" s="314">
        <f>(D31+E31)*0.0292</f>
        <v>243.91917681012004</v>
      </c>
      <c r="H23" s="410">
        <f>SUM(D23:G23)</f>
        <v>243.91917681012004</v>
      </c>
      <c r="I23" s="411"/>
      <c r="J23" s="314"/>
      <c r="K23" s="314"/>
      <c r="L23" s="314">
        <f>(I31+J31)*0.0292</f>
        <v>45.592372520393205</v>
      </c>
      <c r="M23" s="72">
        <f>SUM(I23:L23)</f>
        <v>45.592372520393205</v>
      </c>
      <c r="N23" s="59"/>
      <c r="O23" s="62"/>
      <c r="P23" s="62"/>
      <c r="Q23" s="62">
        <f>(N31+O31)*0.0292</f>
        <v>231.60925240359751</v>
      </c>
      <c r="R23" s="73">
        <f>SUM(N23:Q23)</f>
        <v>231.60925240359751</v>
      </c>
    </row>
    <row r="24" spans="1:18" ht="26.25" customHeight="1" x14ac:dyDescent="0.25">
      <c r="A24" s="152">
        <v>5</v>
      </c>
      <c r="B24" s="312" t="s">
        <v>64</v>
      </c>
      <c r="C24" s="313" t="s">
        <v>65</v>
      </c>
      <c r="D24" s="116"/>
      <c r="E24" s="62"/>
      <c r="F24" s="62"/>
      <c r="G24" s="314">
        <f>ROUNDDOWN(SUM(L24*9.19),3)</f>
        <v>71.138999999999996</v>
      </c>
      <c r="H24" s="72">
        <f>SUM(D24:G24)</f>
        <v>71.138999999999996</v>
      </c>
      <c r="I24" s="59"/>
      <c r="J24" s="62"/>
      <c r="K24" s="62"/>
      <c r="L24" s="314">
        <v>7.7409999999999997</v>
      </c>
      <c r="M24" s="72">
        <f>SUM(I24:L24)</f>
        <v>7.7409999999999997</v>
      </c>
      <c r="N24" s="59"/>
      <c r="O24" s="62"/>
      <c r="P24" s="62"/>
      <c r="Q24" s="62">
        <f>SUM(L24*8.74)</f>
        <v>67.65634</v>
      </c>
      <c r="R24" s="73">
        <f>SUM(N24:Q24)</f>
        <v>67.65634</v>
      </c>
    </row>
    <row r="25" spans="1:18" x14ac:dyDescent="0.25">
      <c r="A25" s="152"/>
      <c r="B25" s="125" t="s">
        <v>16</v>
      </c>
      <c r="C25" s="187" t="s">
        <v>10</v>
      </c>
      <c r="D25" s="116">
        <f>SUM(D22:D24)</f>
        <v>117.7694661</v>
      </c>
      <c r="E25" s="62">
        <f>SUM(E22:E24)</f>
        <v>0</v>
      </c>
      <c r="F25" s="62">
        <f>SUM(F22:F22)</f>
        <v>0</v>
      </c>
      <c r="G25" s="62">
        <f>SUM(G22:G24)</f>
        <v>315.05817681012002</v>
      </c>
      <c r="H25" s="62">
        <f>SUM(D25:G25)</f>
        <v>432.82764291012001</v>
      </c>
      <c r="I25" s="59">
        <f>SUM(I22:I24)</f>
        <v>22.012985777411199</v>
      </c>
      <c r="J25" s="62">
        <f>SUM(J22:J24)</f>
        <v>0</v>
      </c>
      <c r="K25" s="62">
        <f>SUM(K22:K24)</f>
        <v>0</v>
      </c>
      <c r="L25" s="62">
        <f>SUM(L22:L24)</f>
        <v>53.333372520393205</v>
      </c>
      <c r="M25" s="62">
        <f>SUM(I25:L25)</f>
        <v>75.3463582978044</v>
      </c>
      <c r="N25" s="59">
        <f>SUM(N22:N24)</f>
        <v>111.8259677492489</v>
      </c>
      <c r="O25" s="62">
        <f>SUM(O22:O24)</f>
        <v>0</v>
      </c>
      <c r="P25" s="62">
        <f>SUM(P22:P24)</f>
        <v>0</v>
      </c>
      <c r="Q25" s="62">
        <f>SUM(Q22:Q24)</f>
        <v>299.26559240359751</v>
      </c>
      <c r="R25" s="73">
        <f>SUM(N25:Q25)</f>
        <v>411.0915601528464</v>
      </c>
    </row>
    <row r="26" spans="1:18" ht="15.75" thickBot="1" x14ac:dyDescent="0.3">
      <c r="A26" s="153"/>
      <c r="B26" s="127" t="s">
        <v>16</v>
      </c>
      <c r="C26" s="187" t="s">
        <v>4</v>
      </c>
      <c r="D26" s="117">
        <f>SUM(D20+D25)</f>
        <v>8353.3964661000009</v>
      </c>
      <c r="E26" s="65">
        <f>SUM(E20+E25)</f>
        <v>0</v>
      </c>
      <c r="F26" s="65">
        <f>SUM(F20+F25)</f>
        <v>0</v>
      </c>
      <c r="G26" s="65">
        <f>SUM(G20+G25)</f>
        <v>315.05817681012002</v>
      </c>
      <c r="H26" s="412">
        <f>SUM(D26:G26)</f>
        <v>8668.454642910121</v>
      </c>
      <c r="I26" s="413">
        <f>SUM(I20+I25)</f>
        <v>1561.3826205614112</v>
      </c>
      <c r="J26" s="414">
        <f>SUM(J20+J25)</f>
        <v>0</v>
      </c>
      <c r="K26" s="414">
        <f>SUM(K20+K25)</f>
        <v>0</v>
      </c>
      <c r="L26" s="414">
        <f>SUM(L20+L25)</f>
        <v>53.333372520393205</v>
      </c>
      <c r="M26" s="412">
        <f>SUM(I26:L26)</f>
        <v>1614.7159930818043</v>
      </c>
      <c r="N26" s="413">
        <f>SUM(N20+N25)</f>
        <v>7931.8237124519692</v>
      </c>
      <c r="O26" s="414">
        <f>SUM(O20+O25)</f>
        <v>0</v>
      </c>
      <c r="P26" s="414">
        <f>SUM(P20+P25)</f>
        <v>0</v>
      </c>
      <c r="Q26" s="414">
        <f>SUM(Q20+Q25)</f>
        <v>299.26559240359751</v>
      </c>
      <c r="R26" s="415">
        <f>SUM(N26:Q26)</f>
        <v>8231.0893048555663</v>
      </c>
    </row>
    <row r="27" spans="1:18" ht="15.75" thickBot="1" x14ac:dyDescent="0.3">
      <c r="A27" s="477" t="s">
        <v>11</v>
      </c>
      <c r="B27" s="475"/>
      <c r="C27" s="476"/>
      <c r="D27" s="266"/>
      <c r="E27" s="266"/>
      <c r="F27" s="266"/>
      <c r="G27" s="266"/>
      <c r="H27" s="275"/>
      <c r="I27" s="276"/>
      <c r="J27" s="267"/>
      <c r="K27" s="267"/>
      <c r="L27" s="267"/>
      <c r="M27" s="277"/>
      <c r="N27" s="268"/>
      <c r="O27" s="266"/>
      <c r="P27" s="266"/>
      <c r="Q27" s="266"/>
      <c r="R27" s="275"/>
    </row>
    <row r="28" spans="1:18" ht="44.25" customHeight="1" x14ac:dyDescent="0.25">
      <c r="A28" s="154">
        <v>7</v>
      </c>
      <c r="B28" s="184" t="s">
        <v>66</v>
      </c>
      <c r="C28" s="187" t="s">
        <v>67</v>
      </c>
      <c r="D28" s="278"/>
      <c r="E28" s="279"/>
      <c r="F28" s="279"/>
      <c r="G28" s="416">
        <f>(H26+G33)*3.73%</f>
        <v>341.22191598054746</v>
      </c>
      <c r="H28" s="316">
        <f>SUM(D28:G28)</f>
        <v>341.22191598054746</v>
      </c>
      <c r="I28" s="315"/>
      <c r="J28" s="417"/>
      <c r="K28" s="417"/>
      <c r="L28" s="416">
        <f>(M26+L33)*3.73%</f>
        <v>61.0962296409513</v>
      </c>
      <c r="M28" s="316">
        <f>SUM(I28:L28)</f>
        <v>61.0962296409513</v>
      </c>
      <c r="N28" s="315"/>
      <c r="O28" s="417"/>
      <c r="P28" s="417"/>
      <c r="Q28" s="416">
        <f>(R26+Q33)*3.73%</f>
        <v>324.9081888711126</v>
      </c>
      <c r="R28" s="280">
        <f>SUM(N28:Q28)</f>
        <v>324.9081888711126</v>
      </c>
    </row>
    <row r="29" spans="1:18" ht="30.75" customHeight="1" x14ac:dyDescent="0.25">
      <c r="A29" s="154">
        <v>8</v>
      </c>
      <c r="B29" s="184" t="s">
        <v>48</v>
      </c>
      <c r="C29" s="187" t="s">
        <v>49</v>
      </c>
      <c r="D29" s="118"/>
      <c r="E29" s="71"/>
      <c r="F29" s="71"/>
      <c r="G29" s="72">
        <f>H26*2.14%</f>
        <v>185.5049293582766</v>
      </c>
      <c r="H29" s="73">
        <f>SUM(D29:G29)</f>
        <v>185.5049293582766</v>
      </c>
      <c r="I29" s="70"/>
      <c r="J29" s="71"/>
      <c r="K29" s="71"/>
      <c r="L29" s="72">
        <f>M26*2.14%</f>
        <v>34.554922251950615</v>
      </c>
      <c r="M29" s="73">
        <f>SUM(I29:L29)</f>
        <v>34.554922251950615</v>
      </c>
      <c r="N29" s="70"/>
      <c r="O29" s="71"/>
      <c r="P29" s="71"/>
      <c r="Q29" s="72">
        <f>R26*2.14%</f>
        <v>176.14531112390912</v>
      </c>
      <c r="R29" s="73">
        <f>SUM(N29:Q29)</f>
        <v>176.14531112390912</v>
      </c>
    </row>
    <row r="30" spans="1:18" x14ac:dyDescent="0.25">
      <c r="A30" s="152"/>
      <c r="B30" s="125" t="s">
        <v>16</v>
      </c>
      <c r="C30" s="124" t="s">
        <v>12</v>
      </c>
      <c r="D30" s="116">
        <f>SUM(D28:D29)</f>
        <v>0</v>
      </c>
      <c r="E30" s="60">
        <f>SUM(E28:E29)</f>
        <v>0</v>
      </c>
      <c r="F30" s="60">
        <f>SUM(F28:F29)</f>
        <v>0</v>
      </c>
      <c r="G30" s="62">
        <f>SUM(G28:G29)</f>
        <v>526.72684533882409</v>
      </c>
      <c r="H30" s="61">
        <f>SUM(D30:G30)</f>
        <v>526.72684533882409</v>
      </c>
      <c r="I30" s="59">
        <f>SUM(I28:I29)</f>
        <v>0</v>
      </c>
      <c r="J30" s="60">
        <f>SUM(J28:J29)</f>
        <v>0</v>
      </c>
      <c r="K30" s="60">
        <f>SUM(K28:K29)</f>
        <v>0</v>
      </c>
      <c r="L30" s="62">
        <f>SUM(L28:L29)</f>
        <v>95.651151892901908</v>
      </c>
      <c r="M30" s="61">
        <f>SUM(I30:L30)</f>
        <v>95.651151892901908</v>
      </c>
      <c r="N30" s="59">
        <f>SUM(N28:N29)</f>
        <v>0</v>
      </c>
      <c r="O30" s="60">
        <f>SUM(O28:O29)</f>
        <v>0</v>
      </c>
      <c r="P30" s="60">
        <f>SUM(P28:P29)</f>
        <v>0</v>
      </c>
      <c r="Q30" s="62">
        <f>SUM(Q28:Q29)</f>
        <v>501.05349999502175</v>
      </c>
      <c r="R30" s="61">
        <f>SUM(N30:Q30)</f>
        <v>501.05349999502175</v>
      </c>
    </row>
    <row r="31" spans="1:18" ht="15.75" thickBot="1" x14ac:dyDescent="0.3">
      <c r="A31" s="153"/>
      <c r="B31" s="127" t="s">
        <v>16</v>
      </c>
      <c r="C31" s="128" t="s">
        <v>18</v>
      </c>
      <c r="D31" s="418">
        <f>SUM(D26+D30)</f>
        <v>8353.3964661000009</v>
      </c>
      <c r="E31" s="414">
        <f>SUM(E26+E30)</f>
        <v>0</v>
      </c>
      <c r="F31" s="414">
        <f>SUM(F26+F30)</f>
        <v>0</v>
      </c>
      <c r="G31" s="414">
        <f>SUM(G26+G30)</f>
        <v>841.78502214894411</v>
      </c>
      <c r="H31" s="414">
        <f>ROUNDDOWN(SUM(D31:G31),3)</f>
        <v>9195.1810000000005</v>
      </c>
      <c r="I31" s="413">
        <f>SUM(I26+I30)</f>
        <v>1561.3826205614112</v>
      </c>
      <c r="J31" s="414">
        <f>SUM(J26+J30)</f>
        <v>0</v>
      </c>
      <c r="K31" s="46">
        <f>SUM(K26+K30)</f>
        <v>0</v>
      </c>
      <c r="L31" s="46">
        <f>SUM(L26+L30)</f>
        <v>148.98452441329511</v>
      </c>
      <c r="M31" s="57">
        <f>SUM(I31:L31)</f>
        <v>1710.3671449747062</v>
      </c>
      <c r="N31" s="56">
        <f>N26+N30</f>
        <v>7931.8237124519692</v>
      </c>
      <c r="O31" s="46">
        <f>O26+O30</f>
        <v>0</v>
      </c>
      <c r="P31" s="46">
        <f>P26+P30</f>
        <v>0</v>
      </c>
      <c r="Q31" s="46">
        <f>Q26+Q30</f>
        <v>800.3190923986192</v>
      </c>
      <c r="R31" s="57">
        <f>SUM(N31:Q31)</f>
        <v>8732.1428048505877</v>
      </c>
    </row>
    <row r="32" spans="1:18" ht="15.75" thickBot="1" x14ac:dyDescent="0.3">
      <c r="A32" s="477" t="s">
        <v>68</v>
      </c>
      <c r="B32" s="475"/>
      <c r="C32" s="476"/>
      <c r="D32" s="191"/>
      <c r="E32" s="191"/>
      <c r="F32" s="191"/>
      <c r="G32" s="191"/>
      <c r="H32" s="193"/>
      <c r="I32" s="192"/>
      <c r="J32" s="191"/>
      <c r="K32" s="191"/>
      <c r="L32" s="191"/>
      <c r="M32" s="193"/>
      <c r="N32" s="192"/>
      <c r="O32" s="191"/>
      <c r="P32" s="191"/>
      <c r="Q32" s="191"/>
      <c r="R32" s="193"/>
    </row>
    <row r="33" spans="1:21" ht="63.75" customHeight="1" x14ac:dyDescent="0.25">
      <c r="A33" s="154">
        <v>9</v>
      </c>
      <c r="B33" s="195" t="s">
        <v>69</v>
      </c>
      <c r="C33" s="196" t="s">
        <v>130</v>
      </c>
      <c r="D33" s="111"/>
      <c r="E33" s="51"/>
      <c r="F33" s="51"/>
      <c r="G33" s="410">
        <v>479.58600000000001</v>
      </c>
      <c r="H33" s="419">
        <f>G33</f>
        <v>479.58600000000001</v>
      </c>
      <c r="I33" s="420"/>
      <c r="J33" s="421"/>
      <c r="K33" s="421"/>
      <c r="L33" s="410">
        <f>23252.63/1000</f>
        <v>23.25263</v>
      </c>
      <c r="M33" s="419">
        <f>L33</f>
        <v>23.25263</v>
      </c>
      <c r="N33" s="420"/>
      <c r="O33" s="421"/>
      <c r="P33" s="421"/>
      <c r="Q33" s="410">
        <f>G33</f>
        <v>479.58600000000001</v>
      </c>
      <c r="R33" s="49">
        <f>Q33</f>
        <v>479.58600000000001</v>
      </c>
    </row>
    <row r="34" spans="1:21" x14ac:dyDescent="0.25">
      <c r="A34" s="152"/>
      <c r="B34" s="185" t="s">
        <v>16</v>
      </c>
      <c r="C34" s="163" t="s">
        <v>13</v>
      </c>
      <c r="D34" s="47">
        <f>SUM(D33)</f>
        <v>0</v>
      </c>
      <c r="E34" s="53">
        <f>SUM(E33)</f>
        <v>0</v>
      </c>
      <c r="F34" s="53">
        <f>SUM(F33)</f>
        <v>0</v>
      </c>
      <c r="G34" s="54">
        <f>SUM(G33)</f>
        <v>479.58600000000001</v>
      </c>
      <c r="H34" s="55">
        <f>D34+E34+F34+G34</f>
        <v>479.58600000000001</v>
      </c>
      <c r="I34" s="52">
        <f>SUM(I33)</f>
        <v>0</v>
      </c>
      <c r="J34" s="53">
        <f>SUM(J33)</f>
        <v>0</v>
      </c>
      <c r="K34" s="53">
        <f>SUM(K33)</f>
        <v>0</v>
      </c>
      <c r="L34" s="54">
        <f>SUM(L33)</f>
        <v>23.25263</v>
      </c>
      <c r="M34" s="55">
        <f>I34+J34+K34+L34</f>
        <v>23.25263</v>
      </c>
      <c r="N34" s="52">
        <f>SUM(N33)</f>
        <v>0</v>
      </c>
      <c r="O34" s="53">
        <f>SUM(O33)</f>
        <v>0</v>
      </c>
      <c r="P34" s="53">
        <f>SUM(P33)</f>
        <v>0</v>
      </c>
      <c r="Q34" s="54">
        <f>SUM(Q33)</f>
        <v>479.58600000000001</v>
      </c>
      <c r="R34" s="55">
        <f>SUM(N34:Q34)</f>
        <v>479.58600000000001</v>
      </c>
    </row>
    <row r="35" spans="1:21" ht="15.75" thickBot="1" x14ac:dyDescent="0.3">
      <c r="A35" s="152"/>
      <c r="B35" s="125" t="s">
        <v>16</v>
      </c>
      <c r="C35" s="129" t="s">
        <v>19</v>
      </c>
      <c r="D35" s="47">
        <f>SUM(D31+D34)</f>
        <v>8353.3964661000009</v>
      </c>
      <c r="E35" s="53">
        <f>SUM(E31+E34)</f>
        <v>0</v>
      </c>
      <c r="F35" s="53">
        <f>SUM(F31+F34)</f>
        <v>0</v>
      </c>
      <c r="G35" s="53">
        <f>SUM(G31+G34)</f>
        <v>1321.3710221489441</v>
      </c>
      <c r="H35" s="57">
        <f>SUM(D35:G35)</f>
        <v>9674.7674882489446</v>
      </c>
      <c r="I35" s="52">
        <f>SUM(I31+I34)</f>
        <v>1561.3826205614112</v>
      </c>
      <c r="J35" s="53">
        <f>SUM(J31+J34)</f>
        <v>0</v>
      </c>
      <c r="K35" s="53">
        <f>SUM(K31+K34)</f>
        <v>0</v>
      </c>
      <c r="L35" s="53">
        <f>SUM(L31+L34)</f>
        <v>172.23715441329512</v>
      </c>
      <c r="M35" s="57">
        <f>SUM(I35:L35)</f>
        <v>1733.6197749747062</v>
      </c>
      <c r="N35" s="52">
        <f>SUM(N31+N34)</f>
        <v>7931.8237124519692</v>
      </c>
      <c r="O35" s="53">
        <f>SUM(O31+O34)</f>
        <v>0</v>
      </c>
      <c r="P35" s="53">
        <f>SUM(P31+P34)</f>
        <v>0</v>
      </c>
      <c r="Q35" s="53">
        <f>SUM(Q31+Q34)</f>
        <v>1279.9050923986192</v>
      </c>
      <c r="R35" s="57">
        <f>SUM(N35:Q35)</f>
        <v>9211.7288048505889</v>
      </c>
    </row>
    <row r="36" spans="1:21" ht="15.75" thickBot="1" x14ac:dyDescent="0.3">
      <c r="A36" s="478"/>
      <c r="B36" s="479"/>
      <c r="C36" s="480"/>
      <c r="D36" s="48"/>
      <c r="E36" s="48"/>
      <c r="F36" s="48"/>
      <c r="G36" s="48"/>
      <c r="H36" s="58"/>
      <c r="I36" s="155"/>
      <c r="J36" s="48"/>
      <c r="K36" s="48"/>
      <c r="L36" s="48"/>
      <c r="M36" s="58"/>
      <c r="N36" s="155"/>
      <c r="O36" s="48"/>
      <c r="P36" s="48"/>
      <c r="Q36" s="48"/>
      <c r="R36" s="58"/>
    </row>
    <row r="37" spans="1:21" s="424" customFormat="1" ht="31.5" customHeight="1" x14ac:dyDescent="0.25">
      <c r="A37" s="422">
        <v>10</v>
      </c>
      <c r="B37" s="186" t="s">
        <v>70</v>
      </c>
      <c r="C37" s="187" t="s">
        <v>71</v>
      </c>
      <c r="D37" s="116">
        <f>D35*3%</f>
        <v>250.60189398300002</v>
      </c>
      <c r="E37" s="279">
        <f>E35*3%</f>
        <v>0</v>
      </c>
      <c r="F37" s="279">
        <f>F35*3%</f>
        <v>0</v>
      </c>
      <c r="G37" s="279">
        <f>G35*3%</f>
        <v>39.641130664468321</v>
      </c>
      <c r="H37" s="280">
        <f>SUM(D37:G37)</f>
        <v>290.24302464746836</v>
      </c>
      <c r="I37" s="423">
        <f>I35*3%</f>
        <v>46.84147861684233</v>
      </c>
      <c r="J37" s="423">
        <f>J35*3%</f>
        <v>0</v>
      </c>
      <c r="K37" s="423">
        <f>K35*3%</f>
        <v>0</v>
      </c>
      <c r="L37" s="423">
        <f>L35*3%</f>
        <v>5.167114632398853</v>
      </c>
      <c r="M37" s="280">
        <f>SUM(I37:L37)</f>
        <v>52.008593249241187</v>
      </c>
      <c r="N37" s="423">
        <f>N35*3%</f>
        <v>237.95471137355906</v>
      </c>
      <c r="O37" s="279">
        <f>O35*3%</f>
        <v>0</v>
      </c>
      <c r="P37" s="279">
        <f>P35*3%</f>
        <v>0</v>
      </c>
      <c r="Q37" s="279">
        <f>(Q35-Q33)*3%</f>
        <v>24.009572771958574</v>
      </c>
      <c r="R37" s="280">
        <f>SUM(N37:Q37)</f>
        <v>261.96428414551764</v>
      </c>
    </row>
    <row r="38" spans="1:21" ht="24.75" customHeight="1" x14ac:dyDescent="0.25">
      <c r="A38" s="152"/>
      <c r="B38" s="317"/>
      <c r="C38" s="187" t="s">
        <v>72</v>
      </c>
      <c r="D38" s="116">
        <f>SUM(D37)</f>
        <v>250.60189398300002</v>
      </c>
      <c r="E38" s="51">
        <f>SUM(E37)</f>
        <v>0</v>
      </c>
      <c r="F38" s="51">
        <f>SUM(F37)</f>
        <v>0</v>
      </c>
      <c r="G38" s="51">
        <f>SUM(G37)</f>
        <v>39.641130664468321</v>
      </c>
      <c r="H38" s="49">
        <f>SUM(D38:G38)</f>
        <v>290.24302464746836</v>
      </c>
      <c r="I38" s="50">
        <f>SUM(I37)</f>
        <v>46.84147861684233</v>
      </c>
      <c r="J38" s="111">
        <f>SUM(J37)</f>
        <v>0</v>
      </c>
      <c r="K38" s="111">
        <f>SUM(K37)</f>
        <v>0</v>
      </c>
      <c r="L38" s="111">
        <f>SUM(L37)</f>
        <v>5.167114632398853</v>
      </c>
      <c r="M38" s="49">
        <f>SUM(I38:L38)</f>
        <v>52.008593249241187</v>
      </c>
      <c r="N38" s="50">
        <f>SUM(N37)</f>
        <v>237.95471137355906</v>
      </c>
      <c r="O38" s="51">
        <f>SUM(O37)</f>
        <v>0</v>
      </c>
      <c r="P38" s="51">
        <f>SUM(P37)</f>
        <v>0</v>
      </c>
      <c r="Q38" s="51">
        <f>SUM(Q37)</f>
        <v>24.009572771958574</v>
      </c>
      <c r="R38" s="49">
        <f>SUM(N38:Q38)</f>
        <v>261.96428414551764</v>
      </c>
    </row>
    <row r="39" spans="1:21" ht="33.75" customHeight="1" x14ac:dyDescent="0.25">
      <c r="A39" s="152"/>
      <c r="B39" s="162" t="s">
        <v>16</v>
      </c>
      <c r="C39" s="124" t="s">
        <v>73</v>
      </c>
      <c r="D39" s="116">
        <f>SUM(D35+D38)</f>
        <v>8603.9983600830001</v>
      </c>
      <c r="E39" s="60">
        <f>SUM(E35+E38)</f>
        <v>0</v>
      </c>
      <c r="F39" s="60">
        <f>SUM(F35+F38)</f>
        <v>0</v>
      </c>
      <c r="G39" s="60">
        <f>SUM(G35+G38)</f>
        <v>1361.0121528134125</v>
      </c>
      <c r="H39" s="61">
        <f>ROUNDDOWN(SUM(D39:G39),3)</f>
        <v>9965.01</v>
      </c>
      <c r="I39" s="59">
        <f>I35+I38</f>
        <v>1608.2240991782535</v>
      </c>
      <c r="J39" s="60">
        <f>J35+J38</f>
        <v>0</v>
      </c>
      <c r="K39" s="60">
        <f>K35+K38</f>
        <v>0</v>
      </c>
      <c r="L39" s="60">
        <f>L35+L38</f>
        <v>177.40426904569398</v>
      </c>
      <c r="M39" s="61">
        <f>SUM(I39:L39)</f>
        <v>1785.6283682239475</v>
      </c>
      <c r="N39" s="59">
        <f>N35+N38</f>
        <v>8169.7784238255281</v>
      </c>
      <c r="O39" s="60">
        <f>O35+O38</f>
        <v>0</v>
      </c>
      <c r="P39" s="60">
        <f>P35+P38</f>
        <v>0</v>
      </c>
      <c r="Q39" s="60">
        <f>Q35+Q38</f>
        <v>1303.9146651705778</v>
      </c>
      <c r="R39" s="61">
        <f>SUM(N39:Q39)</f>
        <v>9473.6930889961059</v>
      </c>
    </row>
    <row r="40" spans="1:21" ht="28.5" customHeight="1" x14ac:dyDescent="0.25">
      <c r="A40" s="152">
        <v>11</v>
      </c>
      <c r="B40" s="125"/>
      <c r="C40" s="130" t="s">
        <v>134</v>
      </c>
      <c r="D40" s="116"/>
      <c r="E40" s="60"/>
      <c r="F40" s="60"/>
      <c r="G40" s="62"/>
      <c r="H40" s="61"/>
      <c r="I40" s="59"/>
      <c r="J40" s="60"/>
      <c r="K40" s="60"/>
      <c r="L40" s="62"/>
      <c r="M40" s="63"/>
      <c r="N40" s="84">
        <f>N39*1.053*1.074*1.036*1.037*1.037*1.038</f>
        <v>10684.582388574587</v>
      </c>
      <c r="O40" s="60">
        <f>O39*1.053*1.074*1.036*1.037*1.037*1.038</f>
        <v>0</v>
      </c>
      <c r="P40" s="60">
        <f>P39*1.053*1.074*1.036*1.037*1.037*1.038</f>
        <v>0</v>
      </c>
      <c r="Q40" s="60">
        <f>(Q39-Q33)*1.053*1.074*1.036*1.037*1.037*1.038+Q33</f>
        <v>1557.6577764135591</v>
      </c>
      <c r="R40" s="87">
        <f>SUM(N40:Q40)</f>
        <v>12242.240164988147</v>
      </c>
    </row>
    <row r="41" spans="1:21" ht="15.75" thickBot="1" x14ac:dyDescent="0.3">
      <c r="A41" s="153"/>
      <c r="B41" s="127"/>
      <c r="C41" s="131"/>
      <c r="D41" s="117"/>
      <c r="E41" s="65"/>
      <c r="F41" s="65"/>
      <c r="G41" s="66"/>
      <c r="H41" s="67"/>
      <c r="I41" s="64"/>
      <c r="J41" s="65"/>
      <c r="K41" s="65"/>
      <c r="L41" s="66"/>
      <c r="M41" s="68"/>
      <c r="N41" s="64"/>
      <c r="O41" s="65"/>
      <c r="P41" s="65"/>
      <c r="Q41" s="65"/>
      <c r="R41" s="67"/>
    </row>
    <row r="42" spans="1:21" x14ac:dyDescent="0.25">
      <c r="A42" s="154"/>
      <c r="B42" s="132" t="s">
        <v>16</v>
      </c>
      <c r="C42" s="133" t="s">
        <v>14</v>
      </c>
      <c r="D42" s="118">
        <f t="shared" ref="D42:G42" si="0">D39</f>
        <v>8603.9983600830001</v>
      </c>
      <c r="E42" s="71">
        <f t="shared" si="0"/>
        <v>0</v>
      </c>
      <c r="F42" s="71">
        <f t="shared" si="0"/>
        <v>0</v>
      </c>
      <c r="G42" s="72">
        <f t="shared" si="0"/>
        <v>1361.0121528134125</v>
      </c>
      <c r="H42" s="73">
        <f>ROUNDDOWN(SUM(D42:G42),3)</f>
        <v>9965.01</v>
      </c>
      <c r="I42" s="70"/>
      <c r="J42" s="71"/>
      <c r="K42" s="71"/>
      <c r="L42" s="72"/>
      <c r="M42" s="74"/>
      <c r="N42" s="120">
        <f>N40</f>
        <v>10684.582388574587</v>
      </c>
      <c r="O42" s="85">
        <f>O40</f>
        <v>0</v>
      </c>
      <c r="P42" s="85">
        <f>P40</f>
        <v>0</v>
      </c>
      <c r="Q42" s="85">
        <f>Q40</f>
        <v>1557.6577764135591</v>
      </c>
      <c r="R42" s="86">
        <f>SUM(N42:Q42)</f>
        <v>12242.240164988147</v>
      </c>
    </row>
    <row r="43" spans="1:21" x14ac:dyDescent="0.25">
      <c r="A43" s="152">
        <v>12</v>
      </c>
      <c r="B43" s="134" t="s">
        <v>16</v>
      </c>
      <c r="C43" s="124" t="s">
        <v>50</v>
      </c>
      <c r="D43" s="47">
        <f>D42*20%</f>
        <v>1720.7996720166002</v>
      </c>
      <c r="E43" s="53">
        <f>E42*20%</f>
        <v>0</v>
      </c>
      <c r="F43" s="53">
        <f>F42*20%</f>
        <v>0</v>
      </c>
      <c r="G43" s="53">
        <f>G42*20%</f>
        <v>272.20243056268254</v>
      </c>
      <c r="H43" s="55">
        <f>SUM(D43:G43)</f>
        <v>1993.0021025792828</v>
      </c>
      <c r="I43" s="75"/>
      <c r="J43" s="76"/>
      <c r="K43" s="76"/>
      <c r="L43" s="77"/>
      <c r="M43" s="78"/>
      <c r="N43" s="121">
        <f>N42*20%</f>
        <v>2136.9164777149176</v>
      </c>
      <c r="O43" s="76">
        <f>O42*20%</f>
        <v>0</v>
      </c>
      <c r="P43" s="76">
        <f>P42*20%</f>
        <v>0</v>
      </c>
      <c r="Q43" s="76">
        <f>Q42*20%</f>
        <v>311.53155528271185</v>
      </c>
      <c r="R43" s="78">
        <f>SUM(N43:Q43)</f>
        <v>2448.4480329976295</v>
      </c>
    </row>
    <row r="44" spans="1:21" ht="27" customHeight="1" thickBot="1" x14ac:dyDescent="0.3">
      <c r="A44" s="153"/>
      <c r="B44" s="135" t="s">
        <v>16</v>
      </c>
      <c r="C44" s="136" t="s">
        <v>15</v>
      </c>
      <c r="D44" s="112">
        <f>D42+D43</f>
        <v>10324.798032099599</v>
      </c>
      <c r="E44" s="46">
        <f>E42+E43</f>
        <v>0</v>
      </c>
      <c r="F44" s="46">
        <f>F42+F43</f>
        <v>0</v>
      </c>
      <c r="G44" s="46">
        <f>G42+G43</f>
        <v>1633.2145833760951</v>
      </c>
      <c r="H44" s="57">
        <f>ROUNDDOWN(SUM(D44:G44),3)</f>
        <v>11958.012000000001</v>
      </c>
      <c r="I44" s="79"/>
      <c r="J44" s="80"/>
      <c r="K44" s="80"/>
      <c r="L44" s="81"/>
      <c r="M44" s="82"/>
      <c r="N44" s="122">
        <f>N42+N43</f>
        <v>12821.498866289505</v>
      </c>
      <c r="O44" s="80">
        <f>O42+O43</f>
        <v>0</v>
      </c>
      <c r="P44" s="80">
        <f>P42+P43</f>
        <v>0</v>
      </c>
      <c r="Q44" s="80">
        <f>Q42+Q43</f>
        <v>1869.189331696271</v>
      </c>
      <c r="R44" s="82">
        <f>SUM(N44:Q44)</f>
        <v>14690.688197985775</v>
      </c>
    </row>
    <row r="45" spans="1:21" x14ac:dyDescent="0.25">
      <c r="A45" s="2" t="s">
        <v>16</v>
      </c>
      <c r="B45" s="481" t="s">
        <v>16</v>
      </c>
      <c r="C45" s="482"/>
      <c r="D45" s="483" t="s">
        <v>16</v>
      </c>
      <c r="E45" s="484"/>
      <c r="F45" s="485" t="s">
        <v>16</v>
      </c>
      <c r="G45" s="486"/>
      <c r="H45" s="486"/>
      <c r="I45" s="150"/>
      <c r="J45" s="150"/>
      <c r="K45" s="150"/>
      <c r="L45" s="150"/>
      <c r="M45" s="151"/>
      <c r="N45" s="1"/>
      <c r="O45" s="1"/>
      <c r="P45" s="1"/>
      <c r="Q45" s="1"/>
      <c r="R45" s="1"/>
      <c r="T45" s="426">
        <v>6040136.7300000004</v>
      </c>
      <c r="U45" t="s">
        <v>147</v>
      </c>
    </row>
    <row r="46" spans="1:21" ht="33.75" x14ac:dyDescent="0.25">
      <c r="A46" s="2"/>
      <c r="B46" s="487" t="s">
        <v>135</v>
      </c>
      <c r="C46" s="488"/>
      <c r="D46" s="488"/>
      <c r="E46" s="488"/>
      <c r="F46" s="488"/>
      <c r="G46" s="488"/>
      <c r="H46" s="488"/>
      <c r="I46" s="488"/>
      <c r="J46" s="110"/>
      <c r="K46" s="110"/>
      <c r="L46" s="110"/>
      <c r="M46" s="24"/>
      <c r="N46" s="464" t="s">
        <v>74</v>
      </c>
      <c r="O46" s="464"/>
      <c r="P46" s="464"/>
      <c r="Q46" s="259">
        <f>H39</f>
        <v>9965.01</v>
      </c>
      <c r="R46" s="119" t="s">
        <v>24</v>
      </c>
      <c r="T46" s="427">
        <f>Q49-T45/1000</f>
        <v>6202.1034349881465</v>
      </c>
      <c r="U46" t="s">
        <v>148</v>
      </c>
    </row>
    <row r="47" spans="1:21" ht="33.75" x14ac:dyDescent="0.25">
      <c r="A47" s="2"/>
      <c r="B47" s="12"/>
      <c r="C47" s="318"/>
      <c r="D47" s="318"/>
      <c r="E47" s="318"/>
      <c r="F47" s="318"/>
      <c r="G47" s="319"/>
      <c r="H47" s="319"/>
      <c r="I47" s="318"/>
      <c r="J47" s="24"/>
      <c r="K47" s="24"/>
      <c r="L47" s="463" t="s">
        <v>23</v>
      </c>
      <c r="M47" s="463"/>
      <c r="N47" s="464" t="s">
        <v>39</v>
      </c>
      <c r="O47" s="464"/>
      <c r="P47" s="464"/>
      <c r="Q47" s="259">
        <f>R40</f>
        <v>12242.240164988147</v>
      </c>
      <c r="R47" s="119" t="s">
        <v>24</v>
      </c>
      <c r="S47" t="s">
        <v>145</v>
      </c>
      <c r="T47" t="s">
        <v>146</v>
      </c>
    </row>
    <row r="48" spans="1:21" ht="33.75" x14ac:dyDescent="0.25">
      <c r="A48" s="2"/>
      <c r="B48" s="465" t="s">
        <v>40</v>
      </c>
      <c r="C48" s="466"/>
      <c r="D48" s="466"/>
      <c r="E48" s="466"/>
      <c r="F48" s="466"/>
      <c r="G48" s="466"/>
      <c r="H48" s="466"/>
      <c r="I48" s="466"/>
      <c r="J48" s="11" t="s">
        <v>27</v>
      </c>
      <c r="K48" s="11"/>
      <c r="L48" s="463"/>
      <c r="M48" s="463"/>
      <c r="N48" s="464" t="s">
        <v>137</v>
      </c>
      <c r="O48" s="464"/>
      <c r="P48" s="464"/>
      <c r="Q48" s="425">
        <f>'НМЦ лота СМР '!H44</f>
        <v>4124.182132657872</v>
      </c>
      <c r="R48" s="119" t="s">
        <v>24</v>
      </c>
      <c r="S48">
        <v>41.439599999999999</v>
      </c>
      <c r="T48">
        <f>Q48/S48</f>
        <v>99.522730254584317</v>
      </c>
      <c r="U48">
        <f>Q47/S48</f>
        <v>295.42370498238756</v>
      </c>
    </row>
    <row r="49" spans="1:18" ht="43.5" customHeight="1" x14ac:dyDescent="0.25">
      <c r="A49" s="1"/>
      <c r="B49" s="26"/>
      <c r="C49" s="26"/>
      <c r="D49" s="26"/>
      <c r="E49" s="26"/>
      <c r="F49" s="26"/>
      <c r="G49" s="26"/>
      <c r="H49" s="26"/>
      <c r="I49" s="7"/>
      <c r="J49" s="7"/>
      <c r="K49" s="467" t="s">
        <v>26</v>
      </c>
      <c r="L49" s="468"/>
      <c r="M49" s="468"/>
      <c r="N49" s="464" t="s">
        <v>138</v>
      </c>
      <c r="O49" s="464"/>
      <c r="P49" s="464"/>
      <c r="Q49" s="259">
        <f>R42</f>
        <v>12242.240164988147</v>
      </c>
      <c r="R49" s="119" t="s">
        <v>24</v>
      </c>
    </row>
    <row r="50" spans="1:18" x14ac:dyDescent="0.25">
      <c r="A50" s="1"/>
      <c r="B50" s="294"/>
      <c r="C50" s="294"/>
      <c r="D50" s="294"/>
      <c r="E50" s="294"/>
      <c r="F50" s="294"/>
      <c r="G50" s="27"/>
      <c r="H50" s="27"/>
      <c r="I50" s="295"/>
      <c r="J50" s="295"/>
      <c r="K50" s="295"/>
      <c r="L50" s="461" t="s">
        <v>46</v>
      </c>
      <c r="M50" s="461"/>
      <c r="N50" s="40"/>
      <c r="O50" s="40"/>
      <c r="P50" s="40"/>
      <c r="Q50" s="40"/>
      <c r="R50" s="40"/>
    </row>
    <row r="51" spans="1:18" x14ac:dyDescent="0.25">
      <c r="A51" s="1"/>
      <c r="B51" s="13"/>
      <c r="C51" s="13"/>
      <c r="D51" s="13"/>
      <c r="E51" s="13"/>
      <c r="F51" s="13"/>
      <c r="G51" s="13"/>
      <c r="H51" s="13"/>
      <c r="I51" s="7"/>
      <c r="J51" s="7"/>
      <c r="K51" s="7"/>
      <c r="L51" s="461" t="s">
        <v>136</v>
      </c>
      <c r="M51" s="461"/>
      <c r="N51" s="41"/>
      <c r="O51" s="41"/>
      <c r="P51" s="41"/>
      <c r="Q51" s="41"/>
      <c r="R51" s="41"/>
    </row>
    <row r="52" spans="1:18" x14ac:dyDescent="0.25">
      <c r="A52" s="1"/>
      <c r="B52" s="4"/>
      <c r="C52" s="462"/>
      <c r="D52" s="462"/>
      <c r="E52" s="462"/>
      <c r="F52" s="462"/>
      <c r="G52" s="462"/>
      <c r="H52" s="3"/>
      <c r="I52" s="8"/>
      <c r="J52" s="8"/>
      <c r="K52" s="8"/>
      <c r="L52" s="8"/>
      <c r="M52" s="8"/>
      <c r="N52" s="1"/>
      <c r="O52" s="1"/>
      <c r="P52" s="1"/>
      <c r="Q52" s="1"/>
      <c r="R52" s="36"/>
    </row>
  </sheetData>
  <mergeCells count="34">
    <mergeCell ref="N7:R7"/>
    <mergeCell ref="N1:R1"/>
    <mergeCell ref="A2:M4"/>
    <mergeCell ref="N2:R4"/>
    <mergeCell ref="A5:M5"/>
    <mergeCell ref="N5:R5"/>
    <mergeCell ref="A6:H6"/>
    <mergeCell ref="A7:A8"/>
    <mergeCell ref="B7:B8"/>
    <mergeCell ref="C7:C8"/>
    <mergeCell ref="D7:H7"/>
    <mergeCell ref="I7:M7"/>
    <mergeCell ref="N46:P46"/>
    <mergeCell ref="A10:C10"/>
    <mergeCell ref="A13:C13"/>
    <mergeCell ref="A17:C17"/>
    <mergeCell ref="A21:C21"/>
    <mergeCell ref="A27:C27"/>
    <mergeCell ref="A32:C32"/>
    <mergeCell ref="A36:C36"/>
    <mergeCell ref="B45:C45"/>
    <mergeCell ref="D45:E45"/>
    <mergeCell ref="F45:H45"/>
    <mergeCell ref="B46:I46"/>
    <mergeCell ref="L50:M50"/>
    <mergeCell ref="L51:M51"/>
    <mergeCell ref="C52:G52"/>
    <mergeCell ref="L47:M47"/>
    <mergeCell ref="N47:P47"/>
    <mergeCell ref="B48:I48"/>
    <mergeCell ref="L48:M48"/>
    <mergeCell ref="N48:P48"/>
    <mergeCell ref="K49:M49"/>
    <mergeCell ref="N49:P49"/>
  </mergeCells>
  <conditionalFormatting sqref="N1:R1">
    <cfRule type="cellIs" dxfId="0" priority="1" operator="equal">
      <formula>0</formula>
    </cfRule>
  </conditionalFormatting>
  <pageMargins left="0.7" right="0.7" top="0.75" bottom="0.75" header="0.3" footer="0.3"/>
  <pageSetup paperSize="9" scale="77" orientation="portrait" r:id="rId1"/>
  <colBreaks count="2" manualBreakCount="2">
    <brk id="6" max="51" man="1"/>
    <brk id="18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5"/>
  <sheetViews>
    <sheetView view="pageBreakPreview" topLeftCell="A10" zoomScale="75" zoomScaleNormal="80" zoomScaleSheetLayoutView="75" workbookViewId="0">
      <selection activeCell="H45" sqref="H45"/>
    </sheetView>
  </sheetViews>
  <sheetFormatPr defaultRowHeight="12.75" x14ac:dyDescent="0.2"/>
  <cols>
    <col min="1" max="1" width="9.42578125" style="109" customWidth="1"/>
    <col min="2" max="2" width="26.28515625" style="109" customWidth="1"/>
    <col min="3" max="3" width="71" style="1" customWidth="1"/>
    <col min="4" max="4" width="17.5703125" style="1" customWidth="1"/>
    <col min="5" max="6" width="15.28515625" style="1" customWidth="1"/>
    <col min="7" max="7" width="14.7109375" style="1" customWidth="1"/>
    <col min="8" max="8" width="15" style="1" customWidth="1"/>
    <col min="9" max="9" width="15.28515625" style="1" customWidth="1"/>
    <col min="10" max="10" width="11.7109375" style="1" bestFit="1" customWidth="1"/>
    <col min="11" max="11" width="12.42578125" style="1" customWidth="1"/>
    <col min="12" max="246" width="9.140625" style="1"/>
    <col min="247" max="247" width="5.140625" style="1" customWidth="1"/>
    <col min="248" max="248" width="12.42578125" style="1" customWidth="1"/>
    <col min="249" max="249" width="25.42578125" style="1" customWidth="1"/>
    <col min="250" max="254" width="10.28515625" style="1" customWidth="1"/>
    <col min="255" max="502" width="9.140625" style="1"/>
    <col min="503" max="503" width="5.140625" style="1" customWidth="1"/>
    <col min="504" max="504" width="12.42578125" style="1" customWidth="1"/>
    <col min="505" max="505" width="25.42578125" style="1" customWidth="1"/>
    <col min="506" max="510" width="10.28515625" style="1" customWidth="1"/>
    <col min="511" max="758" width="9.140625" style="1"/>
    <col min="759" max="759" width="5.140625" style="1" customWidth="1"/>
    <col min="760" max="760" width="12.42578125" style="1" customWidth="1"/>
    <col min="761" max="761" width="25.42578125" style="1" customWidth="1"/>
    <col min="762" max="766" width="10.28515625" style="1" customWidth="1"/>
    <col min="767" max="1014" width="9.140625" style="1"/>
    <col min="1015" max="1015" width="5.140625" style="1" customWidth="1"/>
    <col min="1016" max="1016" width="12.42578125" style="1" customWidth="1"/>
    <col min="1017" max="1017" width="25.42578125" style="1" customWidth="1"/>
    <col min="1018" max="1022" width="10.28515625" style="1" customWidth="1"/>
    <col min="1023" max="1270" width="9.140625" style="1"/>
    <col min="1271" max="1271" width="5.140625" style="1" customWidth="1"/>
    <col min="1272" max="1272" width="12.42578125" style="1" customWidth="1"/>
    <col min="1273" max="1273" width="25.42578125" style="1" customWidth="1"/>
    <col min="1274" max="1278" width="10.28515625" style="1" customWidth="1"/>
    <col min="1279" max="1526" width="9.140625" style="1"/>
    <col min="1527" max="1527" width="5.140625" style="1" customWidth="1"/>
    <col min="1528" max="1528" width="12.42578125" style="1" customWidth="1"/>
    <col min="1529" max="1529" width="25.42578125" style="1" customWidth="1"/>
    <col min="1530" max="1534" width="10.28515625" style="1" customWidth="1"/>
    <col min="1535" max="1782" width="9.140625" style="1"/>
    <col min="1783" max="1783" width="5.140625" style="1" customWidth="1"/>
    <col min="1784" max="1784" width="12.42578125" style="1" customWidth="1"/>
    <col min="1785" max="1785" width="25.42578125" style="1" customWidth="1"/>
    <col min="1786" max="1790" width="10.28515625" style="1" customWidth="1"/>
    <col min="1791" max="2038" width="9.140625" style="1"/>
    <col min="2039" max="2039" width="5.140625" style="1" customWidth="1"/>
    <col min="2040" max="2040" width="12.42578125" style="1" customWidth="1"/>
    <col min="2041" max="2041" width="25.42578125" style="1" customWidth="1"/>
    <col min="2042" max="2046" width="10.28515625" style="1" customWidth="1"/>
    <col min="2047" max="2294" width="9.140625" style="1"/>
    <col min="2295" max="2295" width="5.140625" style="1" customWidth="1"/>
    <col min="2296" max="2296" width="12.42578125" style="1" customWidth="1"/>
    <col min="2297" max="2297" width="25.42578125" style="1" customWidth="1"/>
    <col min="2298" max="2302" width="10.28515625" style="1" customWidth="1"/>
    <col min="2303" max="2550" width="9.140625" style="1"/>
    <col min="2551" max="2551" width="5.140625" style="1" customWidth="1"/>
    <col min="2552" max="2552" width="12.42578125" style="1" customWidth="1"/>
    <col min="2553" max="2553" width="25.42578125" style="1" customWidth="1"/>
    <col min="2554" max="2558" width="10.28515625" style="1" customWidth="1"/>
    <col min="2559" max="2806" width="9.140625" style="1"/>
    <col min="2807" max="2807" width="5.140625" style="1" customWidth="1"/>
    <col min="2808" max="2808" width="12.42578125" style="1" customWidth="1"/>
    <col min="2809" max="2809" width="25.42578125" style="1" customWidth="1"/>
    <col min="2810" max="2814" width="10.28515625" style="1" customWidth="1"/>
    <col min="2815" max="3062" width="9.140625" style="1"/>
    <col min="3063" max="3063" width="5.140625" style="1" customWidth="1"/>
    <col min="3064" max="3064" width="12.42578125" style="1" customWidth="1"/>
    <col min="3065" max="3065" width="25.42578125" style="1" customWidth="1"/>
    <col min="3066" max="3070" width="10.28515625" style="1" customWidth="1"/>
    <col min="3071" max="3318" width="9.140625" style="1"/>
    <col min="3319" max="3319" width="5.140625" style="1" customWidth="1"/>
    <col min="3320" max="3320" width="12.42578125" style="1" customWidth="1"/>
    <col min="3321" max="3321" width="25.42578125" style="1" customWidth="1"/>
    <col min="3322" max="3326" width="10.28515625" style="1" customWidth="1"/>
    <col min="3327" max="3574" width="9.140625" style="1"/>
    <col min="3575" max="3575" width="5.140625" style="1" customWidth="1"/>
    <col min="3576" max="3576" width="12.42578125" style="1" customWidth="1"/>
    <col min="3577" max="3577" width="25.42578125" style="1" customWidth="1"/>
    <col min="3578" max="3582" width="10.28515625" style="1" customWidth="1"/>
    <col min="3583" max="3830" width="9.140625" style="1"/>
    <col min="3831" max="3831" width="5.140625" style="1" customWidth="1"/>
    <col min="3832" max="3832" width="12.42578125" style="1" customWidth="1"/>
    <col min="3833" max="3833" width="25.42578125" style="1" customWidth="1"/>
    <col min="3834" max="3838" width="10.28515625" style="1" customWidth="1"/>
    <col min="3839" max="4086" width="9.140625" style="1"/>
    <col min="4087" max="4087" width="5.140625" style="1" customWidth="1"/>
    <col min="4088" max="4088" width="12.42578125" style="1" customWidth="1"/>
    <col min="4089" max="4089" width="25.42578125" style="1" customWidth="1"/>
    <col min="4090" max="4094" width="10.28515625" style="1" customWidth="1"/>
    <col min="4095" max="4342" width="9.140625" style="1"/>
    <col min="4343" max="4343" width="5.140625" style="1" customWidth="1"/>
    <col min="4344" max="4344" width="12.42578125" style="1" customWidth="1"/>
    <col min="4345" max="4345" width="25.42578125" style="1" customWidth="1"/>
    <col min="4346" max="4350" width="10.28515625" style="1" customWidth="1"/>
    <col min="4351" max="4598" width="9.140625" style="1"/>
    <col min="4599" max="4599" width="5.140625" style="1" customWidth="1"/>
    <col min="4600" max="4600" width="12.42578125" style="1" customWidth="1"/>
    <col min="4601" max="4601" width="25.42578125" style="1" customWidth="1"/>
    <col min="4602" max="4606" width="10.28515625" style="1" customWidth="1"/>
    <col min="4607" max="4854" width="9.140625" style="1"/>
    <col min="4855" max="4855" width="5.140625" style="1" customWidth="1"/>
    <col min="4856" max="4856" width="12.42578125" style="1" customWidth="1"/>
    <col min="4857" max="4857" width="25.42578125" style="1" customWidth="1"/>
    <col min="4858" max="4862" width="10.28515625" style="1" customWidth="1"/>
    <col min="4863" max="5110" width="9.140625" style="1"/>
    <col min="5111" max="5111" width="5.140625" style="1" customWidth="1"/>
    <col min="5112" max="5112" width="12.42578125" style="1" customWidth="1"/>
    <col min="5113" max="5113" width="25.42578125" style="1" customWidth="1"/>
    <col min="5114" max="5118" width="10.28515625" style="1" customWidth="1"/>
    <col min="5119" max="5366" width="9.140625" style="1"/>
    <col min="5367" max="5367" width="5.140625" style="1" customWidth="1"/>
    <col min="5368" max="5368" width="12.42578125" style="1" customWidth="1"/>
    <col min="5369" max="5369" width="25.42578125" style="1" customWidth="1"/>
    <col min="5370" max="5374" width="10.28515625" style="1" customWidth="1"/>
    <col min="5375" max="5622" width="9.140625" style="1"/>
    <col min="5623" max="5623" width="5.140625" style="1" customWidth="1"/>
    <col min="5624" max="5624" width="12.42578125" style="1" customWidth="1"/>
    <col min="5625" max="5625" width="25.42578125" style="1" customWidth="1"/>
    <col min="5626" max="5630" width="10.28515625" style="1" customWidth="1"/>
    <col min="5631" max="5878" width="9.140625" style="1"/>
    <col min="5879" max="5879" width="5.140625" style="1" customWidth="1"/>
    <col min="5880" max="5880" width="12.42578125" style="1" customWidth="1"/>
    <col min="5881" max="5881" width="25.42578125" style="1" customWidth="1"/>
    <col min="5882" max="5886" width="10.28515625" style="1" customWidth="1"/>
    <col min="5887" max="6134" width="9.140625" style="1"/>
    <col min="6135" max="6135" width="5.140625" style="1" customWidth="1"/>
    <col min="6136" max="6136" width="12.42578125" style="1" customWidth="1"/>
    <col min="6137" max="6137" width="25.42578125" style="1" customWidth="1"/>
    <col min="6138" max="6142" width="10.28515625" style="1" customWidth="1"/>
    <col min="6143" max="6390" width="9.140625" style="1"/>
    <col min="6391" max="6391" width="5.140625" style="1" customWidth="1"/>
    <col min="6392" max="6392" width="12.42578125" style="1" customWidth="1"/>
    <col min="6393" max="6393" width="25.42578125" style="1" customWidth="1"/>
    <col min="6394" max="6398" width="10.28515625" style="1" customWidth="1"/>
    <col min="6399" max="6646" width="9.140625" style="1"/>
    <col min="6647" max="6647" width="5.140625" style="1" customWidth="1"/>
    <col min="6648" max="6648" width="12.42578125" style="1" customWidth="1"/>
    <col min="6649" max="6649" width="25.42578125" style="1" customWidth="1"/>
    <col min="6650" max="6654" width="10.28515625" style="1" customWidth="1"/>
    <col min="6655" max="6902" width="9.140625" style="1"/>
    <col min="6903" max="6903" width="5.140625" style="1" customWidth="1"/>
    <col min="6904" max="6904" width="12.42578125" style="1" customWidth="1"/>
    <col min="6905" max="6905" width="25.42578125" style="1" customWidth="1"/>
    <col min="6906" max="6910" width="10.28515625" style="1" customWidth="1"/>
    <col min="6911" max="7158" width="9.140625" style="1"/>
    <col min="7159" max="7159" width="5.140625" style="1" customWidth="1"/>
    <col min="7160" max="7160" width="12.42578125" style="1" customWidth="1"/>
    <col min="7161" max="7161" width="25.42578125" style="1" customWidth="1"/>
    <col min="7162" max="7166" width="10.28515625" style="1" customWidth="1"/>
    <col min="7167" max="7414" width="9.140625" style="1"/>
    <col min="7415" max="7415" width="5.140625" style="1" customWidth="1"/>
    <col min="7416" max="7416" width="12.42578125" style="1" customWidth="1"/>
    <col min="7417" max="7417" width="25.42578125" style="1" customWidth="1"/>
    <col min="7418" max="7422" width="10.28515625" style="1" customWidth="1"/>
    <col min="7423" max="7670" width="9.140625" style="1"/>
    <col min="7671" max="7671" width="5.140625" style="1" customWidth="1"/>
    <col min="7672" max="7672" width="12.42578125" style="1" customWidth="1"/>
    <col min="7673" max="7673" width="25.42578125" style="1" customWidth="1"/>
    <col min="7674" max="7678" width="10.28515625" style="1" customWidth="1"/>
    <col min="7679" max="7926" width="9.140625" style="1"/>
    <col min="7927" max="7927" width="5.140625" style="1" customWidth="1"/>
    <col min="7928" max="7928" width="12.42578125" style="1" customWidth="1"/>
    <col min="7929" max="7929" width="25.42578125" style="1" customWidth="1"/>
    <col min="7930" max="7934" width="10.28515625" style="1" customWidth="1"/>
    <col min="7935" max="8182" width="9.140625" style="1"/>
    <col min="8183" max="8183" width="5.140625" style="1" customWidth="1"/>
    <col min="8184" max="8184" width="12.42578125" style="1" customWidth="1"/>
    <col min="8185" max="8185" width="25.42578125" style="1" customWidth="1"/>
    <col min="8186" max="8190" width="10.28515625" style="1" customWidth="1"/>
    <col min="8191" max="8438" width="9.140625" style="1"/>
    <col min="8439" max="8439" width="5.140625" style="1" customWidth="1"/>
    <col min="8440" max="8440" width="12.42578125" style="1" customWidth="1"/>
    <col min="8441" max="8441" width="25.42578125" style="1" customWidth="1"/>
    <col min="8442" max="8446" width="10.28515625" style="1" customWidth="1"/>
    <col min="8447" max="8694" width="9.140625" style="1"/>
    <col min="8695" max="8695" width="5.140625" style="1" customWidth="1"/>
    <col min="8696" max="8696" width="12.42578125" style="1" customWidth="1"/>
    <col min="8697" max="8697" width="25.42578125" style="1" customWidth="1"/>
    <col min="8698" max="8702" width="10.28515625" style="1" customWidth="1"/>
    <col min="8703" max="8950" width="9.140625" style="1"/>
    <col min="8951" max="8951" width="5.140625" style="1" customWidth="1"/>
    <col min="8952" max="8952" width="12.42578125" style="1" customWidth="1"/>
    <col min="8953" max="8953" width="25.42578125" style="1" customWidth="1"/>
    <col min="8954" max="8958" width="10.28515625" style="1" customWidth="1"/>
    <col min="8959" max="9206" width="9.140625" style="1"/>
    <col min="9207" max="9207" width="5.140625" style="1" customWidth="1"/>
    <col min="9208" max="9208" width="12.42578125" style="1" customWidth="1"/>
    <col min="9209" max="9209" width="25.42578125" style="1" customWidth="1"/>
    <col min="9210" max="9214" width="10.28515625" style="1" customWidth="1"/>
    <col min="9215" max="9462" width="9.140625" style="1"/>
    <col min="9463" max="9463" width="5.140625" style="1" customWidth="1"/>
    <col min="9464" max="9464" width="12.42578125" style="1" customWidth="1"/>
    <col min="9465" max="9465" width="25.42578125" style="1" customWidth="1"/>
    <col min="9466" max="9470" width="10.28515625" style="1" customWidth="1"/>
    <col min="9471" max="9718" width="9.140625" style="1"/>
    <col min="9719" max="9719" width="5.140625" style="1" customWidth="1"/>
    <col min="9720" max="9720" width="12.42578125" style="1" customWidth="1"/>
    <col min="9721" max="9721" width="25.42578125" style="1" customWidth="1"/>
    <col min="9722" max="9726" width="10.28515625" style="1" customWidth="1"/>
    <col min="9727" max="9974" width="9.140625" style="1"/>
    <col min="9975" max="9975" width="5.140625" style="1" customWidth="1"/>
    <col min="9976" max="9976" width="12.42578125" style="1" customWidth="1"/>
    <col min="9977" max="9977" width="25.42578125" style="1" customWidth="1"/>
    <col min="9978" max="9982" width="10.28515625" style="1" customWidth="1"/>
    <col min="9983" max="10230" width="9.140625" style="1"/>
    <col min="10231" max="10231" width="5.140625" style="1" customWidth="1"/>
    <col min="10232" max="10232" width="12.42578125" style="1" customWidth="1"/>
    <col min="10233" max="10233" width="25.42578125" style="1" customWidth="1"/>
    <col min="10234" max="10238" width="10.28515625" style="1" customWidth="1"/>
    <col min="10239" max="10486" width="9.140625" style="1"/>
    <col min="10487" max="10487" width="5.140625" style="1" customWidth="1"/>
    <col min="10488" max="10488" width="12.42578125" style="1" customWidth="1"/>
    <col min="10489" max="10489" width="25.42578125" style="1" customWidth="1"/>
    <col min="10490" max="10494" width="10.28515625" style="1" customWidth="1"/>
    <col min="10495" max="10742" width="9.140625" style="1"/>
    <col min="10743" max="10743" width="5.140625" style="1" customWidth="1"/>
    <col min="10744" max="10744" width="12.42578125" style="1" customWidth="1"/>
    <col min="10745" max="10745" width="25.42578125" style="1" customWidth="1"/>
    <col min="10746" max="10750" width="10.28515625" style="1" customWidth="1"/>
    <col min="10751" max="10998" width="9.140625" style="1"/>
    <col min="10999" max="10999" width="5.140625" style="1" customWidth="1"/>
    <col min="11000" max="11000" width="12.42578125" style="1" customWidth="1"/>
    <col min="11001" max="11001" width="25.42578125" style="1" customWidth="1"/>
    <col min="11002" max="11006" width="10.28515625" style="1" customWidth="1"/>
    <col min="11007" max="11254" width="9.140625" style="1"/>
    <col min="11255" max="11255" width="5.140625" style="1" customWidth="1"/>
    <col min="11256" max="11256" width="12.42578125" style="1" customWidth="1"/>
    <col min="11257" max="11257" width="25.42578125" style="1" customWidth="1"/>
    <col min="11258" max="11262" width="10.28515625" style="1" customWidth="1"/>
    <col min="11263" max="11510" width="9.140625" style="1"/>
    <col min="11511" max="11511" width="5.140625" style="1" customWidth="1"/>
    <col min="11512" max="11512" width="12.42578125" style="1" customWidth="1"/>
    <col min="11513" max="11513" width="25.42578125" style="1" customWidth="1"/>
    <col min="11514" max="11518" width="10.28515625" style="1" customWidth="1"/>
    <col min="11519" max="11766" width="9.140625" style="1"/>
    <col min="11767" max="11767" width="5.140625" style="1" customWidth="1"/>
    <col min="11768" max="11768" width="12.42578125" style="1" customWidth="1"/>
    <col min="11769" max="11769" width="25.42578125" style="1" customWidth="1"/>
    <col min="11770" max="11774" width="10.28515625" style="1" customWidth="1"/>
    <col min="11775" max="12022" width="9.140625" style="1"/>
    <col min="12023" max="12023" width="5.140625" style="1" customWidth="1"/>
    <col min="12024" max="12024" width="12.42578125" style="1" customWidth="1"/>
    <col min="12025" max="12025" width="25.42578125" style="1" customWidth="1"/>
    <col min="12026" max="12030" width="10.28515625" style="1" customWidth="1"/>
    <col min="12031" max="12278" width="9.140625" style="1"/>
    <col min="12279" max="12279" width="5.140625" style="1" customWidth="1"/>
    <col min="12280" max="12280" width="12.42578125" style="1" customWidth="1"/>
    <col min="12281" max="12281" width="25.42578125" style="1" customWidth="1"/>
    <col min="12282" max="12286" width="10.28515625" style="1" customWidth="1"/>
    <col min="12287" max="12534" width="9.140625" style="1"/>
    <col min="12535" max="12535" width="5.140625" style="1" customWidth="1"/>
    <col min="12536" max="12536" width="12.42578125" style="1" customWidth="1"/>
    <col min="12537" max="12537" width="25.42578125" style="1" customWidth="1"/>
    <col min="12538" max="12542" width="10.28515625" style="1" customWidth="1"/>
    <col min="12543" max="12790" width="9.140625" style="1"/>
    <col min="12791" max="12791" width="5.140625" style="1" customWidth="1"/>
    <col min="12792" max="12792" width="12.42578125" style="1" customWidth="1"/>
    <col min="12793" max="12793" width="25.42578125" style="1" customWidth="1"/>
    <col min="12794" max="12798" width="10.28515625" style="1" customWidth="1"/>
    <col min="12799" max="13046" width="9.140625" style="1"/>
    <col min="13047" max="13047" width="5.140625" style="1" customWidth="1"/>
    <col min="13048" max="13048" width="12.42578125" style="1" customWidth="1"/>
    <col min="13049" max="13049" width="25.42578125" style="1" customWidth="1"/>
    <col min="13050" max="13054" width="10.28515625" style="1" customWidth="1"/>
    <col min="13055" max="13302" width="9.140625" style="1"/>
    <col min="13303" max="13303" width="5.140625" style="1" customWidth="1"/>
    <col min="13304" max="13304" width="12.42578125" style="1" customWidth="1"/>
    <col min="13305" max="13305" width="25.42578125" style="1" customWidth="1"/>
    <col min="13306" max="13310" width="10.28515625" style="1" customWidth="1"/>
    <col min="13311" max="13558" width="9.140625" style="1"/>
    <col min="13559" max="13559" width="5.140625" style="1" customWidth="1"/>
    <col min="13560" max="13560" width="12.42578125" style="1" customWidth="1"/>
    <col min="13561" max="13561" width="25.42578125" style="1" customWidth="1"/>
    <col min="13562" max="13566" width="10.28515625" style="1" customWidth="1"/>
    <col min="13567" max="13814" width="9.140625" style="1"/>
    <col min="13815" max="13815" width="5.140625" style="1" customWidth="1"/>
    <col min="13816" max="13816" width="12.42578125" style="1" customWidth="1"/>
    <col min="13817" max="13817" width="25.42578125" style="1" customWidth="1"/>
    <col min="13818" max="13822" width="10.28515625" style="1" customWidth="1"/>
    <col min="13823" max="14070" width="9.140625" style="1"/>
    <col min="14071" max="14071" width="5.140625" style="1" customWidth="1"/>
    <col min="14072" max="14072" width="12.42578125" style="1" customWidth="1"/>
    <col min="14073" max="14073" width="25.42578125" style="1" customWidth="1"/>
    <col min="14074" max="14078" width="10.28515625" style="1" customWidth="1"/>
    <col min="14079" max="14326" width="9.140625" style="1"/>
    <col min="14327" max="14327" width="5.140625" style="1" customWidth="1"/>
    <col min="14328" max="14328" width="12.42578125" style="1" customWidth="1"/>
    <col min="14329" max="14329" width="25.42578125" style="1" customWidth="1"/>
    <col min="14330" max="14334" width="10.28515625" style="1" customWidth="1"/>
    <col min="14335" max="14582" width="9.140625" style="1"/>
    <col min="14583" max="14583" width="5.140625" style="1" customWidth="1"/>
    <col min="14584" max="14584" width="12.42578125" style="1" customWidth="1"/>
    <col min="14585" max="14585" width="25.42578125" style="1" customWidth="1"/>
    <col min="14586" max="14590" width="10.28515625" style="1" customWidth="1"/>
    <col min="14591" max="14838" width="9.140625" style="1"/>
    <col min="14839" max="14839" width="5.140625" style="1" customWidth="1"/>
    <col min="14840" max="14840" width="12.42578125" style="1" customWidth="1"/>
    <col min="14841" max="14841" width="25.42578125" style="1" customWidth="1"/>
    <col min="14842" max="14846" width="10.28515625" style="1" customWidth="1"/>
    <col min="14847" max="15094" width="9.140625" style="1"/>
    <col min="15095" max="15095" width="5.140625" style="1" customWidth="1"/>
    <col min="15096" max="15096" width="12.42578125" style="1" customWidth="1"/>
    <col min="15097" max="15097" width="25.42578125" style="1" customWidth="1"/>
    <col min="15098" max="15102" width="10.28515625" style="1" customWidth="1"/>
    <col min="15103" max="15350" width="9.140625" style="1"/>
    <col min="15351" max="15351" width="5.140625" style="1" customWidth="1"/>
    <col min="15352" max="15352" width="12.42578125" style="1" customWidth="1"/>
    <col min="15353" max="15353" width="25.42578125" style="1" customWidth="1"/>
    <col min="15354" max="15358" width="10.28515625" style="1" customWidth="1"/>
    <col min="15359" max="15606" width="9.140625" style="1"/>
    <col min="15607" max="15607" width="5.140625" style="1" customWidth="1"/>
    <col min="15608" max="15608" width="12.42578125" style="1" customWidth="1"/>
    <col min="15609" max="15609" width="25.42578125" style="1" customWidth="1"/>
    <col min="15610" max="15614" width="10.28515625" style="1" customWidth="1"/>
    <col min="15615" max="15862" width="9.140625" style="1"/>
    <col min="15863" max="15863" width="5.140625" style="1" customWidth="1"/>
    <col min="15864" max="15864" width="12.42578125" style="1" customWidth="1"/>
    <col min="15865" max="15865" width="25.42578125" style="1" customWidth="1"/>
    <col min="15866" max="15870" width="10.28515625" style="1" customWidth="1"/>
    <col min="15871" max="16118" width="9.140625" style="1"/>
    <col min="16119" max="16119" width="5.140625" style="1" customWidth="1"/>
    <col min="16120" max="16120" width="12.42578125" style="1" customWidth="1"/>
    <col min="16121" max="16121" width="25.42578125" style="1" customWidth="1"/>
    <col min="16122" max="16126" width="10.28515625" style="1" customWidth="1"/>
    <col min="16127" max="16384" width="9.140625" style="1"/>
  </cols>
  <sheetData>
    <row r="1" spans="1:11" ht="14.25" x14ac:dyDescent="0.2">
      <c r="A1" s="89"/>
      <c r="B1" s="89"/>
      <c r="C1" s="88"/>
      <c r="D1" s="88"/>
      <c r="E1" s="88"/>
      <c r="F1" s="88"/>
      <c r="G1" s="88"/>
      <c r="H1" s="292" t="s">
        <v>20</v>
      </c>
    </row>
    <row r="2" spans="1:11" ht="19.5" customHeight="1" x14ac:dyDescent="0.2">
      <c r="A2" s="89"/>
      <c r="B2" s="89"/>
      <c r="C2" s="88"/>
      <c r="D2" s="492" t="s">
        <v>131</v>
      </c>
      <c r="E2" s="492"/>
      <c r="F2" s="492"/>
      <c r="G2" s="492"/>
      <c r="H2" s="492"/>
    </row>
    <row r="3" spans="1:11" ht="12.75" customHeight="1" x14ac:dyDescent="0.2">
      <c r="A3" s="175"/>
      <c r="B3" s="90"/>
      <c r="C3" s="91"/>
      <c r="D3" s="492"/>
      <c r="E3" s="492"/>
      <c r="F3" s="492"/>
      <c r="G3" s="492"/>
      <c r="H3" s="492"/>
    </row>
    <row r="4" spans="1:11" ht="60" customHeight="1" x14ac:dyDescent="0.2">
      <c r="A4" s="175"/>
      <c r="B4" s="92"/>
      <c r="C4" s="93"/>
      <c r="D4" s="492"/>
      <c r="E4" s="492"/>
      <c r="F4" s="492"/>
      <c r="G4" s="492"/>
      <c r="H4" s="492"/>
    </row>
    <row r="5" spans="1:11" ht="15" x14ac:dyDescent="0.2">
      <c r="A5" s="175"/>
      <c r="B5" s="92"/>
      <c r="C5" s="93"/>
      <c r="D5" s="94"/>
      <c r="E5" s="94"/>
      <c r="F5" s="94"/>
      <c r="G5" s="94"/>
      <c r="H5" s="94"/>
    </row>
    <row r="6" spans="1:11" ht="49.5" customHeight="1" x14ac:dyDescent="0.2">
      <c r="A6" s="519" t="s">
        <v>129</v>
      </c>
      <c r="B6" s="519"/>
      <c r="C6" s="519"/>
      <c r="D6" s="519"/>
      <c r="E6" s="519"/>
      <c r="F6" s="519"/>
      <c r="G6" s="519"/>
      <c r="H6" s="519"/>
    </row>
    <row r="7" spans="1:11" ht="15" x14ac:dyDescent="0.2">
      <c r="A7" s="176"/>
      <c r="B7" s="92"/>
      <c r="C7" s="38"/>
      <c r="D7" s="38"/>
      <c r="E7" s="38"/>
      <c r="F7" s="38" t="s">
        <v>45</v>
      </c>
      <c r="G7" s="38"/>
      <c r="H7" s="38"/>
    </row>
    <row r="8" spans="1:11" ht="18.75" customHeight="1" thickBot="1" x14ac:dyDescent="0.25">
      <c r="A8" s="520" t="s">
        <v>139</v>
      </c>
      <c r="B8" s="520"/>
      <c r="C8" s="520"/>
      <c r="D8" s="520"/>
      <c r="E8" s="520"/>
      <c r="F8" s="520"/>
      <c r="G8" s="520"/>
      <c r="H8" s="520"/>
    </row>
    <row r="9" spans="1:11" ht="13.5" customHeight="1" thickBot="1" x14ac:dyDescent="0.25">
      <c r="A9" s="496" t="s">
        <v>17</v>
      </c>
      <c r="B9" s="521" t="s">
        <v>28</v>
      </c>
      <c r="C9" s="522" t="s">
        <v>29</v>
      </c>
      <c r="D9" s="524" t="s">
        <v>30</v>
      </c>
      <c r="E9" s="524"/>
      <c r="F9" s="524"/>
      <c r="G9" s="524"/>
      <c r="H9" s="525" t="s">
        <v>8</v>
      </c>
    </row>
    <row r="10" spans="1:11" ht="21.75" thickBot="1" x14ac:dyDescent="0.25">
      <c r="A10" s="497"/>
      <c r="B10" s="499"/>
      <c r="C10" s="523"/>
      <c r="D10" s="95" t="s">
        <v>0</v>
      </c>
      <c r="E10" s="96" t="s">
        <v>1</v>
      </c>
      <c r="F10" s="96" t="s">
        <v>2</v>
      </c>
      <c r="G10" s="97" t="s">
        <v>3</v>
      </c>
      <c r="H10" s="526"/>
    </row>
    <row r="11" spans="1:11" ht="13.5" thickBot="1" x14ac:dyDescent="0.25">
      <c r="A11" s="14">
        <v>1</v>
      </c>
      <c r="B11" s="15">
        <v>2</v>
      </c>
      <c r="C11" s="25">
        <v>3</v>
      </c>
      <c r="D11" s="98">
        <v>4</v>
      </c>
      <c r="E11" s="99">
        <v>5</v>
      </c>
      <c r="F11" s="99">
        <v>6</v>
      </c>
      <c r="G11" s="100">
        <v>7</v>
      </c>
      <c r="H11" s="30">
        <v>8</v>
      </c>
    </row>
    <row r="12" spans="1:11" ht="15" customHeight="1" x14ac:dyDescent="0.2">
      <c r="A12" s="515" t="s">
        <v>31</v>
      </c>
      <c r="B12" s="516"/>
      <c r="C12" s="517"/>
      <c r="D12" s="170"/>
      <c r="E12" s="171"/>
      <c r="F12" s="171"/>
      <c r="G12" s="171"/>
      <c r="H12" s="172"/>
    </row>
    <row r="13" spans="1:11" ht="20.25" customHeight="1" x14ac:dyDescent="0.25">
      <c r="A13" s="234"/>
      <c r="B13" s="236"/>
      <c r="C13" s="246"/>
      <c r="D13" s="288"/>
      <c r="E13" s="289"/>
      <c r="F13" s="289"/>
      <c r="G13" s="290"/>
      <c r="H13" s="291"/>
    </row>
    <row r="14" spans="1:11" ht="15" customHeight="1" x14ac:dyDescent="0.2">
      <c r="A14" s="518" t="s">
        <v>54</v>
      </c>
      <c r="B14" s="516"/>
      <c r="C14" s="517"/>
      <c r="D14" s="202"/>
      <c r="E14" s="203"/>
      <c r="F14" s="203"/>
      <c r="G14" s="203"/>
      <c r="H14" s="204"/>
    </row>
    <row r="15" spans="1:11" s="156" customFormat="1" ht="51.75" customHeight="1" x14ac:dyDescent="0.2">
      <c r="A15" s="235">
        <v>1</v>
      </c>
      <c r="B15" s="401" t="s">
        <v>55</v>
      </c>
      <c r="C15" s="393" t="s">
        <v>130</v>
      </c>
      <c r="D15" s="428">
        <f>'от ССР_Форма 1'!I14</f>
        <v>1499.77556</v>
      </c>
      <c r="E15" s="209">
        <v>0</v>
      </c>
      <c r="F15" s="209">
        <v>0</v>
      </c>
      <c r="G15" s="209">
        <v>0</v>
      </c>
      <c r="H15" s="210">
        <f>SUM(D15:G15)</f>
        <v>1499.77556</v>
      </c>
      <c r="I15" s="205"/>
      <c r="J15" s="206">
        <v>0.6</v>
      </c>
      <c r="K15" s="174"/>
    </row>
    <row r="16" spans="1:11" ht="18" customHeight="1" x14ac:dyDescent="0.25">
      <c r="A16" s="234"/>
      <c r="B16" s="236"/>
      <c r="C16" s="237"/>
      <c r="D16" s="208"/>
      <c r="E16" s="209"/>
      <c r="F16" s="209"/>
      <c r="G16" s="209"/>
      <c r="H16" s="210"/>
    </row>
    <row r="17" spans="1:24" ht="18" hidden="1" customHeight="1" x14ac:dyDescent="0.2">
      <c r="A17" s="234"/>
      <c r="B17" s="238"/>
      <c r="C17" s="239"/>
      <c r="D17" s="208"/>
      <c r="E17" s="209"/>
      <c r="F17" s="209"/>
      <c r="G17" s="209"/>
      <c r="H17" s="210"/>
    </row>
    <row r="18" spans="1:24" ht="18" hidden="1" customHeight="1" x14ac:dyDescent="0.2">
      <c r="A18" s="234"/>
      <c r="B18" s="238"/>
      <c r="C18" s="239"/>
      <c r="D18" s="208"/>
      <c r="E18" s="209"/>
      <c r="F18" s="209"/>
      <c r="G18" s="209"/>
      <c r="H18" s="210"/>
    </row>
    <row r="19" spans="1:24" ht="18" hidden="1" customHeight="1" x14ac:dyDescent="0.2">
      <c r="A19" s="234"/>
      <c r="B19" s="238"/>
      <c r="C19" s="239"/>
      <c r="D19" s="208"/>
      <c r="E19" s="209"/>
      <c r="F19" s="209"/>
      <c r="G19" s="209"/>
      <c r="H19" s="210"/>
    </row>
    <row r="20" spans="1:24" ht="18" customHeight="1" x14ac:dyDescent="0.2">
      <c r="A20" s="234"/>
      <c r="B20" s="240"/>
      <c r="C20" s="394" t="s">
        <v>56</v>
      </c>
      <c r="D20" s="211">
        <f>SUM(D15:D19)</f>
        <v>1499.77556</v>
      </c>
      <c r="E20" s="212">
        <f t="shared" ref="E20:G20" si="0">SUM(E15:E19)</f>
        <v>0</v>
      </c>
      <c r="F20" s="212">
        <f t="shared" si="0"/>
        <v>0</v>
      </c>
      <c r="G20" s="212">
        <f t="shared" si="0"/>
        <v>0</v>
      </c>
      <c r="H20" s="260">
        <f>SUM(H15:H19)</f>
        <v>1499.77556</v>
      </c>
    </row>
    <row r="21" spans="1:24" ht="15" hidden="1" x14ac:dyDescent="0.2">
      <c r="A21" s="515" t="s">
        <v>32</v>
      </c>
      <c r="B21" s="516"/>
      <c r="C21" s="517"/>
      <c r="D21" s="213"/>
      <c r="E21" s="214"/>
      <c r="F21" s="214"/>
      <c r="G21" s="214"/>
      <c r="H21" s="261"/>
    </row>
    <row r="22" spans="1:24" ht="15" hidden="1" x14ac:dyDescent="0.2">
      <c r="A22" s="241"/>
      <c r="B22" s="296"/>
      <c r="C22" s="242"/>
      <c r="D22" s="213"/>
      <c r="E22" s="214"/>
      <c r="F22" s="214"/>
      <c r="G22" s="214"/>
      <c r="H22" s="261"/>
    </row>
    <row r="23" spans="1:24" ht="15" hidden="1" x14ac:dyDescent="0.2">
      <c r="A23" s="515" t="s">
        <v>33</v>
      </c>
      <c r="B23" s="516"/>
      <c r="C23" s="517"/>
      <c r="D23" s="213"/>
      <c r="E23" s="214"/>
      <c r="F23" s="214"/>
      <c r="G23" s="214"/>
      <c r="H23" s="261"/>
    </row>
    <row r="24" spans="1:24" ht="15" hidden="1" x14ac:dyDescent="0.2">
      <c r="A24" s="243"/>
      <c r="B24" s="244"/>
      <c r="C24" s="245"/>
      <c r="D24" s="213"/>
      <c r="E24" s="214"/>
      <c r="F24" s="214"/>
      <c r="G24" s="214"/>
      <c r="H24" s="261"/>
    </row>
    <row r="25" spans="1:24" ht="15" customHeight="1" x14ac:dyDescent="0.2">
      <c r="A25" s="518" t="s">
        <v>21</v>
      </c>
      <c r="B25" s="516"/>
      <c r="C25" s="517"/>
      <c r="D25" s="215"/>
      <c r="E25" s="216"/>
      <c r="F25" s="216"/>
      <c r="G25" s="216"/>
      <c r="H25" s="262"/>
    </row>
    <row r="26" spans="1:24" ht="28.5" hidden="1" customHeight="1" x14ac:dyDescent="0.2">
      <c r="A26" s="234">
        <v>3</v>
      </c>
      <c r="B26" s="240" t="s">
        <v>34</v>
      </c>
      <c r="C26" s="166" t="s">
        <v>35</v>
      </c>
      <c r="D26" s="208"/>
      <c r="E26" s="209"/>
      <c r="F26" s="209"/>
      <c r="G26" s="209"/>
      <c r="H26" s="261">
        <f>SUM(D26:G26)</f>
        <v>0</v>
      </c>
    </row>
    <row r="27" spans="1:24" ht="28.5" hidden="1" customHeight="1" x14ac:dyDescent="0.25">
      <c r="A27" s="235">
        <v>6</v>
      </c>
      <c r="B27" s="236" t="s">
        <v>43</v>
      </c>
      <c r="C27" s="237" t="s">
        <v>44</v>
      </c>
      <c r="D27" s="208"/>
      <c r="E27" s="209"/>
      <c r="F27" s="209"/>
      <c r="G27" s="209"/>
      <c r="H27" s="261">
        <f>SUM(D27:G27)</f>
        <v>0</v>
      </c>
    </row>
    <row r="28" spans="1:24" ht="35.25" customHeight="1" x14ac:dyDescent="0.2">
      <c r="A28" s="235">
        <v>4</v>
      </c>
      <c r="B28" s="400" t="s">
        <v>58</v>
      </c>
      <c r="C28" s="392" t="s">
        <v>59</v>
      </c>
      <c r="D28" s="208">
        <f>SUM((D13+D20)*2.64%)</f>
        <v>39.594074784</v>
      </c>
      <c r="E28" s="209">
        <f>SUM((E13+E20)*2.64%)</f>
        <v>0</v>
      </c>
      <c r="F28" s="209"/>
      <c r="G28" s="209"/>
      <c r="H28" s="261">
        <f>SUM(D28:G28)</f>
        <v>39.594074784</v>
      </c>
    </row>
    <row r="29" spans="1:24" ht="22.5" customHeight="1" x14ac:dyDescent="0.2">
      <c r="A29" s="235"/>
      <c r="B29" s="247"/>
      <c r="C29" s="394" t="s">
        <v>22</v>
      </c>
      <c r="D29" s="211">
        <f>SUM(D27:D28)</f>
        <v>39.594074784</v>
      </c>
      <c r="E29" s="212">
        <f>SUM(E27:E28)</f>
        <v>0</v>
      </c>
      <c r="F29" s="212"/>
      <c r="G29" s="212"/>
      <c r="H29" s="260">
        <f>SUM(D29:G29)</f>
        <v>39.594074784</v>
      </c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</row>
    <row r="30" spans="1:24" ht="15.75" customHeight="1" x14ac:dyDescent="0.2">
      <c r="A30" s="508" t="s">
        <v>9</v>
      </c>
      <c r="B30" s="509"/>
      <c r="C30" s="510"/>
      <c r="D30" s="215"/>
      <c r="E30" s="216"/>
      <c r="F30" s="216"/>
      <c r="G30" s="216"/>
      <c r="H30" s="262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</row>
    <row r="31" spans="1:24" ht="29.25" customHeight="1" x14ac:dyDescent="0.2">
      <c r="A31" s="249">
        <v>4</v>
      </c>
      <c r="B31" s="398" t="s">
        <v>51</v>
      </c>
      <c r="C31" s="395" t="s">
        <v>61</v>
      </c>
      <c r="D31" s="213">
        <f>SUM((D13+D20+D29)*1.43%)</f>
        <v>22.012985777411199</v>
      </c>
      <c r="E31" s="214">
        <f>SUM((E13+E20+E29)*1.43%)</f>
        <v>0</v>
      </c>
      <c r="F31" s="214"/>
      <c r="G31" s="214"/>
      <c r="H31" s="261">
        <f t="shared" ref="H31:H36" si="1">SUM(D31:G31)</f>
        <v>22.012985777411199</v>
      </c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</row>
    <row r="32" spans="1:24" ht="44.25" customHeight="1" x14ac:dyDescent="0.2">
      <c r="A32" s="250">
        <v>5</v>
      </c>
      <c r="B32" s="310" t="s">
        <v>62</v>
      </c>
      <c r="C32" s="396" t="s">
        <v>63</v>
      </c>
      <c r="D32" s="213"/>
      <c r="E32" s="214"/>
      <c r="F32" s="214"/>
      <c r="G32" s="214">
        <v>0</v>
      </c>
      <c r="H32" s="261">
        <f t="shared" si="1"/>
        <v>0</v>
      </c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</row>
    <row r="33" spans="1:33" ht="36" customHeight="1" x14ac:dyDescent="0.2">
      <c r="A33" s="250"/>
      <c r="B33" s="399" t="s">
        <v>64</v>
      </c>
      <c r="C33" s="397" t="s">
        <v>65</v>
      </c>
      <c r="D33" s="213"/>
      <c r="E33" s="214"/>
      <c r="F33" s="214"/>
      <c r="G33" s="214">
        <f>'от ССР_Форма 1'!L24</f>
        <v>7.7409999999999997</v>
      </c>
      <c r="H33" s="261">
        <f t="shared" si="1"/>
        <v>7.7409999999999997</v>
      </c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</row>
    <row r="34" spans="1:33" ht="15" x14ac:dyDescent="0.2">
      <c r="A34" s="250"/>
      <c r="B34" s="251"/>
      <c r="C34" s="248" t="s">
        <v>10</v>
      </c>
      <c r="D34" s="213">
        <f>SUM(D31:D33)</f>
        <v>22.012985777411199</v>
      </c>
      <c r="E34" s="214">
        <f>SUM(E31:E33)</f>
        <v>0</v>
      </c>
      <c r="F34" s="214">
        <f>SUM(F31:F33)</f>
        <v>0</v>
      </c>
      <c r="G34" s="214">
        <f>SUM(G31:G33)</f>
        <v>7.7409999999999997</v>
      </c>
      <c r="H34" s="261">
        <f t="shared" si="1"/>
        <v>29.753985777411199</v>
      </c>
      <c r="I34" s="156"/>
      <c r="J34" s="282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</row>
    <row r="35" spans="1:33" ht="15" x14ac:dyDescent="0.2">
      <c r="A35" s="249"/>
      <c r="B35" s="247"/>
      <c r="C35" s="248" t="s">
        <v>4</v>
      </c>
      <c r="D35" s="217">
        <f>D20+D29+D34</f>
        <v>1561.3826205614112</v>
      </c>
      <c r="E35" s="218">
        <f t="shared" ref="E35:G35" si="2">E20+E29+E34</f>
        <v>0</v>
      </c>
      <c r="F35" s="218">
        <f t="shared" si="2"/>
        <v>0</v>
      </c>
      <c r="G35" s="218">
        <f t="shared" si="2"/>
        <v>7.7409999999999997</v>
      </c>
      <c r="H35" s="260">
        <f t="shared" si="1"/>
        <v>1569.1236205614111</v>
      </c>
      <c r="I35" s="156"/>
      <c r="J35" s="281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  <c r="AC35" s="156"/>
      <c r="AD35" s="156"/>
      <c r="AE35" s="156"/>
      <c r="AF35" s="156"/>
      <c r="AG35" s="156"/>
    </row>
    <row r="36" spans="1:33" s="156" customFormat="1" ht="30.75" customHeight="1" x14ac:dyDescent="0.2">
      <c r="A36" s="249">
        <v>7</v>
      </c>
      <c r="B36" s="236" t="s">
        <v>42</v>
      </c>
      <c r="C36" s="406" t="s">
        <v>52</v>
      </c>
      <c r="D36" s="213">
        <f>D35*1.5%</f>
        <v>23.420739308421165</v>
      </c>
      <c r="E36" s="214">
        <f>E35*1.5%</f>
        <v>0</v>
      </c>
      <c r="F36" s="214">
        <f>F35*1.5%</f>
        <v>0</v>
      </c>
      <c r="G36" s="214">
        <f>G35*1.5%</f>
        <v>0.116115</v>
      </c>
      <c r="H36" s="219">
        <f t="shared" si="1"/>
        <v>23.536854308421166</v>
      </c>
    </row>
    <row r="37" spans="1:33" s="156" customFormat="1" ht="30.75" customHeight="1" x14ac:dyDescent="0.2">
      <c r="A37" s="249"/>
      <c r="B37" s="252"/>
      <c r="C37" s="253" t="s">
        <v>5</v>
      </c>
      <c r="D37" s="217">
        <f>ROUNDUP(D35+D36,5)</f>
        <v>1584.8033599999999</v>
      </c>
      <c r="E37" s="218">
        <f>E35+E36</f>
        <v>0</v>
      </c>
      <c r="F37" s="218">
        <f>F35+F36</f>
        <v>0</v>
      </c>
      <c r="G37" s="218">
        <f>G35+G36</f>
        <v>7.8571149999999994</v>
      </c>
      <c r="H37" s="220">
        <f>ROUNDDOWN(SUM(D37:G37),5)</f>
        <v>1592.66047</v>
      </c>
      <c r="I37" s="174"/>
    </row>
    <row r="38" spans="1:33" ht="15" x14ac:dyDescent="0.25">
      <c r="A38" s="254"/>
      <c r="B38" s="255"/>
      <c r="C38" s="167" t="s">
        <v>141</v>
      </c>
      <c r="D38" s="221"/>
      <c r="E38" s="222"/>
      <c r="F38" s="222"/>
      <c r="G38" s="222"/>
      <c r="H38" s="223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  <c r="AC38" s="156"/>
      <c r="AD38" s="156"/>
      <c r="AE38" s="156"/>
      <c r="AF38" s="156"/>
      <c r="AG38" s="156"/>
    </row>
    <row r="39" spans="1:33" ht="15" x14ac:dyDescent="0.2">
      <c r="A39" s="254"/>
      <c r="B39" s="255"/>
      <c r="C39" s="179" t="s">
        <v>142</v>
      </c>
      <c r="D39" s="224">
        <v>5.5</v>
      </c>
      <c r="E39" s="225">
        <v>5.5</v>
      </c>
      <c r="F39" s="225">
        <v>4.71</v>
      </c>
      <c r="G39" s="225">
        <v>9.3000000000000007</v>
      </c>
      <c r="H39" s="223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  <c r="AC39" s="156"/>
      <c r="AD39" s="156"/>
      <c r="AE39" s="156"/>
      <c r="AF39" s="156"/>
      <c r="AG39" s="156"/>
    </row>
    <row r="40" spans="1:33" ht="15" x14ac:dyDescent="0.25">
      <c r="A40" s="254"/>
      <c r="B40" s="255"/>
      <c r="C40" s="167" t="s">
        <v>143</v>
      </c>
      <c r="D40" s="226">
        <f>SUM(D37*D39)</f>
        <v>8716.4184800000003</v>
      </c>
      <c r="E40" s="227">
        <f>SUM(E37*E39)</f>
        <v>0</v>
      </c>
      <c r="F40" s="227">
        <f>SUM(F37*F39)</f>
        <v>0</v>
      </c>
      <c r="G40" s="227">
        <f>SUM(G37*G39)</f>
        <v>73.071169499999996</v>
      </c>
      <c r="H40" s="228">
        <f>ROUNDDOWN(SUM(D40:G40),5)</f>
        <v>8789.4896399999998</v>
      </c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</row>
    <row r="41" spans="1:33" ht="30" x14ac:dyDescent="0.25">
      <c r="A41" s="254"/>
      <c r="B41" s="256" t="s">
        <v>16</v>
      </c>
      <c r="C41" s="168" t="s">
        <v>144</v>
      </c>
      <c r="D41" s="173">
        <f>1.036*1.037*1.037*1.038</f>
        <v>1.1564174107919998</v>
      </c>
      <c r="E41" s="157">
        <f>D41</f>
        <v>1.1564174107919998</v>
      </c>
      <c r="F41" s="157">
        <f>D41</f>
        <v>1.1564174107919998</v>
      </c>
      <c r="G41" s="157">
        <f>D41</f>
        <v>1.1564174107919998</v>
      </c>
      <c r="H41" s="220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</row>
    <row r="42" spans="1:33" ht="15" x14ac:dyDescent="0.25">
      <c r="A42" s="254"/>
      <c r="B42" s="256"/>
      <c r="C42" s="167" t="s">
        <v>150</v>
      </c>
      <c r="D42" s="217">
        <f>D40*D41</f>
        <v>10079.818090021139</v>
      </c>
      <c r="E42" s="218">
        <f t="shared" ref="E42:G42" si="3">E40*E41</f>
        <v>0</v>
      </c>
      <c r="F42" s="218">
        <f t="shared" si="3"/>
        <v>0</v>
      </c>
      <c r="G42" s="218">
        <f t="shared" si="3"/>
        <v>84.500772636733345</v>
      </c>
      <c r="H42" s="220">
        <f>SUM(D42:G42)</f>
        <v>10164.318862657872</v>
      </c>
      <c r="I42" s="165">
        <v>41.439</v>
      </c>
      <c r="J42" s="165">
        <f>H42/I42</f>
        <v>245.28388384511865</v>
      </c>
      <c r="K42" s="165"/>
    </row>
    <row r="43" spans="1:33" ht="15" x14ac:dyDescent="0.25">
      <c r="A43" s="254"/>
      <c r="B43" s="256"/>
      <c r="C43" s="168" t="s">
        <v>149</v>
      </c>
      <c r="D43" s="229"/>
      <c r="E43" s="230"/>
      <c r="F43" s="230"/>
      <c r="G43" s="230"/>
      <c r="H43" s="220">
        <f>6040136.73/1000</f>
        <v>6040.1367300000002</v>
      </c>
    </row>
    <row r="44" spans="1:33" ht="15" x14ac:dyDescent="0.25">
      <c r="A44" s="254"/>
      <c r="B44" s="256"/>
      <c r="C44" s="167" t="s">
        <v>150</v>
      </c>
      <c r="D44" s="217"/>
      <c r="E44" s="218"/>
      <c r="F44" s="218"/>
      <c r="G44" s="218"/>
      <c r="H44" s="220">
        <f>H42-H43</f>
        <v>4124.182132657872</v>
      </c>
    </row>
    <row r="45" spans="1:33" ht="15" x14ac:dyDescent="0.25">
      <c r="A45" s="254"/>
      <c r="B45" s="256"/>
      <c r="C45" s="167" t="s">
        <v>50</v>
      </c>
      <c r="D45" s="213">
        <f>D42*20%</f>
        <v>2015.963618004228</v>
      </c>
      <c r="E45" s="214">
        <f t="shared" ref="E45:G45" si="4">E42*20%</f>
        <v>0</v>
      </c>
      <c r="F45" s="214">
        <f t="shared" si="4"/>
        <v>0</v>
      </c>
      <c r="G45" s="214">
        <f t="shared" si="4"/>
        <v>16.900154527346668</v>
      </c>
      <c r="H45" s="219">
        <f>SUM(D45:G45)</f>
        <v>2032.8637725315746</v>
      </c>
      <c r="J45" s="165"/>
    </row>
    <row r="46" spans="1:33" ht="30.75" thickBot="1" x14ac:dyDescent="0.3">
      <c r="A46" s="257"/>
      <c r="B46" s="258"/>
      <c r="C46" s="169" t="s">
        <v>36</v>
      </c>
      <c r="D46" s="231">
        <f>D42+D45</f>
        <v>12095.781708025366</v>
      </c>
      <c r="E46" s="232">
        <f t="shared" ref="E46:G46" si="5">E42+E45</f>
        <v>0</v>
      </c>
      <c r="F46" s="232">
        <f t="shared" si="5"/>
        <v>0</v>
      </c>
      <c r="G46" s="232">
        <f t="shared" si="5"/>
        <v>101.40092716408002</v>
      </c>
      <c r="H46" s="233">
        <f>SUM(D46:G46)</f>
        <v>12197.182635189447</v>
      </c>
    </row>
    <row r="47" spans="1:33" x14ac:dyDescent="0.2">
      <c r="A47" s="177" t="s">
        <v>16</v>
      </c>
      <c r="B47" s="158" t="s">
        <v>16</v>
      </c>
      <c r="C47" s="159" t="s">
        <v>37</v>
      </c>
      <c r="D47" s="511" t="s">
        <v>16</v>
      </c>
      <c r="E47" s="512"/>
      <c r="F47" s="513" t="s">
        <v>16</v>
      </c>
      <c r="G47" s="514"/>
      <c r="H47" s="514"/>
    </row>
    <row r="48" spans="1:33" ht="15" customHeight="1" x14ac:dyDescent="0.2">
      <c r="A48" s="177"/>
      <c r="B48" s="160" t="s">
        <v>23</v>
      </c>
      <c r="C48" s="161"/>
      <c r="D48" s="106"/>
      <c r="E48" s="102"/>
      <c r="F48" s="102"/>
      <c r="G48" s="102"/>
      <c r="H48" s="102"/>
    </row>
    <row r="49" spans="1:9" ht="21" customHeight="1" x14ac:dyDescent="0.2">
      <c r="A49" s="178"/>
      <c r="B49" s="106" t="s">
        <v>47</v>
      </c>
      <c r="C49" s="106"/>
      <c r="D49" s="106"/>
    </row>
    <row r="50" spans="1:9" ht="15.75" customHeight="1" x14ac:dyDescent="0.2">
      <c r="A50" s="178"/>
      <c r="B50" s="107"/>
      <c r="C50" s="108"/>
      <c r="D50" s="108"/>
    </row>
    <row r="51" spans="1:9" ht="15" x14ac:dyDescent="0.2">
      <c r="B51" s="101"/>
      <c r="C51" s="102"/>
      <c r="D51" s="102"/>
      <c r="E51" s="102"/>
      <c r="F51" s="102"/>
      <c r="G51" s="102"/>
      <c r="H51" s="102"/>
    </row>
    <row r="52" spans="1:9" ht="15" customHeight="1" x14ac:dyDescent="0.2">
      <c r="B52" s="465" t="s">
        <v>140</v>
      </c>
      <c r="C52" s="465"/>
      <c r="D52" s="465"/>
      <c r="E52" s="465"/>
      <c r="F52" s="465"/>
      <c r="G52" s="465"/>
      <c r="H52" s="465"/>
      <c r="I52" s="465"/>
    </row>
    <row r="53" spans="1:9" ht="15" x14ac:dyDescent="0.2">
      <c r="B53" s="12"/>
      <c r="C53" s="103"/>
      <c r="D53" s="103"/>
      <c r="E53" s="103"/>
      <c r="F53" s="103"/>
      <c r="G53" s="103"/>
      <c r="H53" s="103"/>
      <c r="I53" s="103"/>
    </row>
    <row r="54" spans="1:9" ht="15" customHeight="1" x14ac:dyDescent="0.2">
      <c r="B54" s="465" t="s">
        <v>41</v>
      </c>
      <c r="C54" s="465"/>
      <c r="D54" s="465"/>
      <c r="E54" s="465"/>
      <c r="F54" s="465"/>
      <c r="G54" s="465"/>
      <c r="H54" s="465"/>
      <c r="I54" s="465"/>
    </row>
    <row r="55" spans="1:9" ht="15.75" x14ac:dyDescent="0.25">
      <c r="B55" s="104"/>
      <c r="C55" s="105"/>
      <c r="D55" s="105"/>
      <c r="E55" s="105"/>
      <c r="F55" s="106"/>
      <c r="H55" s="106"/>
    </row>
  </sheetData>
  <mergeCells count="18">
    <mergeCell ref="D2:H4"/>
    <mergeCell ref="A6:H6"/>
    <mergeCell ref="A8:H8"/>
    <mergeCell ref="A9:A10"/>
    <mergeCell ref="B9:B10"/>
    <mergeCell ref="C9:C10"/>
    <mergeCell ref="D9:G9"/>
    <mergeCell ref="H9:H10"/>
    <mergeCell ref="A12:C12"/>
    <mergeCell ref="A14:C14"/>
    <mergeCell ref="A21:C21"/>
    <mergeCell ref="A23:C23"/>
    <mergeCell ref="A25:C25"/>
    <mergeCell ref="A30:C30"/>
    <mergeCell ref="D47:E47"/>
    <mergeCell ref="F47:H47"/>
    <mergeCell ref="B52:I52"/>
    <mergeCell ref="B54:I5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ССР 2000</vt:lpstr>
      <vt:lpstr>ССР_тц  </vt:lpstr>
      <vt:lpstr>от ССР_Форма 1</vt:lpstr>
      <vt:lpstr>НМЦ лота СМР </vt:lpstr>
      <vt:lpstr>'НМЦ лота СМР '!Область_печати</vt:lpstr>
      <vt:lpstr>'от ССР_Форма 1'!Область_печати</vt:lpstr>
      <vt:lpstr>'ССР 2000'!Область_печати</vt:lpstr>
      <vt:lpstr>'ССР_тц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2020-01-29T11:40:01Z</dcterms:modified>
</cp:coreProperties>
</file>